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tables/table1.xml" ContentType="application/vnd.openxmlformats-officedocument.spreadsheetml.tab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1"/>
  <workbookPr/>
  <mc:AlternateContent xmlns:mc="http://schemas.openxmlformats.org/markup-compatibility/2006">
    <mc:Choice Requires="x15">
      <x15ac:absPath xmlns:x15ac="http://schemas.microsoft.com/office/spreadsheetml/2010/11/ac" url="D:\working\waccache\SN3PEPF0001784B\EXCELCNV\c429c3ec-6955-491e-b2d0-082e084683a3\"/>
    </mc:Choice>
  </mc:AlternateContent>
  <xr:revisionPtr revIDLastSave="22" documentId="8_{FAF8A6AC-6A78-4467-A619-78E3A5194493}" xr6:coauthVersionLast="47" xr6:coauthVersionMax="47" xr10:uidLastSave="{03AFD919-0E81-4C8F-BBC2-FEBCD6BEB100}"/>
  <bookViews>
    <workbookView xWindow="-60" yWindow="-60" windowWidth="15480" windowHeight="11640" xr2:uid="{6D8A82EC-9C09-47EF-A4BD-B16F3408719C}"/>
  </bookViews>
  <sheets>
    <sheet name="1) General Information" sheetId="16" r:id="rId1"/>
    <sheet name="Loss Comparison" sheetId="4" state="hidden" r:id="rId2"/>
    <sheet name="Loss Analysis 1995" sheetId="2" state="hidden" r:id="rId3"/>
    <sheet name="2) Loss Analysis" sheetId="17" r:id="rId4"/>
    <sheet name="3) Loss Equations" sheetId="21" r:id="rId5"/>
    <sheet name="4) Historic Values" sheetId="22" r:id="rId6"/>
    <sheet name="Loss Analysis 2001 Mod" sheetId="3" state="hidden" r:id="rId7"/>
  </sheets>
  <definedNames>
    <definedName name="_xlnm.Print_Area" localSheetId="0">'1) General Information'!$A$1:$K$130</definedName>
    <definedName name="_xlnm.Print_Area" localSheetId="3">'2) Loss Analysis'!$A$1:$W$95</definedName>
    <definedName name="_xlnm.Print_Area" localSheetId="4">'3) Loss Equations'!$A$1:$M$58</definedName>
    <definedName name="_xlnm.Print_Area" localSheetId="2">'Loss Analysis 1995'!$A$1:$T$42</definedName>
    <definedName name="_xlnm.Print_Area" localSheetId="6">'Loss Analysis 2001 Mod'!$A$1:$T$42</definedName>
    <definedName name="_xlnm.Print_Area" localSheetId="1">'Loss Comparison'!$A$1:$M$27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6" l="1"/>
  <c r="J123" i="16"/>
  <c r="J122" i="16"/>
  <c r="J119" i="16"/>
  <c r="J118" i="16"/>
  <c r="Q28" i="17"/>
  <c r="AB28" i="17"/>
  <c r="Q29" i="17"/>
  <c r="AB29" i="17"/>
  <c r="Q30" i="17"/>
  <c r="AB30" i="17"/>
  <c r="Q31" i="17"/>
  <c r="AB31" i="17"/>
  <c r="Q32" i="17"/>
  <c r="AB32" i="17"/>
  <c r="Q33" i="17"/>
  <c r="AB33" i="17"/>
  <c r="Q34" i="17"/>
  <c r="AB34" i="17"/>
  <c r="Q35" i="17"/>
  <c r="AB35" i="17"/>
  <c r="Q36" i="17"/>
  <c r="AB36" i="17"/>
  <c r="Q37" i="17"/>
  <c r="AB37" i="17"/>
  <c r="Q38" i="17"/>
  <c r="AB38" i="17"/>
  <c r="Q39" i="17"/>
  <c r="AB39" i="17"/>
  <c r="Q40" i="17"/>
  <c r="AB40" i="17"/>
  <c r="Q41" i="17"/>
  <c r="AB41" i="17"/>
  <c r="Q42" i="17"/>
  <c r="AB42" i="17"/>
  <c r="Q43" i="17"/>
  <c r="AB43" i="17"/>
  <c r="Q44" i="17"/>
  <c r="AB44" i="17"/>
  <c r="Q45" i="17"/>
  <c r="AB45" i="17"/>
  <c r="Q46" i="17"/>
  <c r="AB46" i="17"/>
  <c r="Q47" i="17"/>
  <c r="AB47" i="17"/>
  <c r="Q48" i="17"/>
  <c r="AB48" i="17"/>
  <c r="Q49" i="17"/>
  <c r="AB49" i="17"/>
  <c r="Q50" i="17"/>
  <c r="AB50" i="17"/>
  <c r="Q51" i="17"/>
  <c r="AB51" i="17"/>
  <c r="Q52" i="17"/>
  <c r="AB52" i="17"/>
  <c r="Q26" i="17"/>
  <c r="AB26" i="17"/>
  <c r="Q27" i="17"/>
  <c r="AB27" i="17"/>
  <c r="Q25" i="17"/>
  <c r="AB25" i="17"/>
  <c r="E44" i="21"/>
  <c r="C34" i="21"/>
  <c r="F57" i="17"/>
  <c r="N57" i="17"/>
  <c r="L57" i="17"/>
  <c r="H57" i="17"/>
  <c r="N24" i="22"/>
  <c r="H24" i="22"/>
  <c r="Q20" i="22"/>
  <c r="Q19" i="22"/>
  <c r="O20" i="22"/>
  <c r="N20" i="22"/>
  <c r="K20" i="22"/>
  <c r="I20" i="22"/>
  <c r="I19" i="22"/>
  <c r="H20" i="22"/>
  <c r="H19" i="22"/>
  <c r="P19" i="22"/>
  <c r="O19" i="22"/>
  <c r="N19" i="22"/>
  <c r="K19" i="22"/>
  <c r="J19" i="22"/>
  <c r="K18" i="22"/>
  <c r="K17" i="22"/>
  <c r="K16" i="22"/>
  <c r="K12" i="22"/>
  <c r="Q17" i="22"/>
  <c r="P17" i="22"/>
  <c r="P16" i="22"/>
  <c r="P12" i="22"/>
  <c r="Q16" i="22"/>
  <c r="Q12" i="22"/>
  <c r="Q11" i="22"/>
  <c r="P11" i="22"/>
  <c r="K11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F8" i="17"/>
  <c r="F9" i="17"/>
  <c r="G9" i="17"/>
  <c r="H9" i="17"/>
  <c r="F10" i="17"/>
  <c r="F11" i="17"/>
  <c r="F12" i="17"/>
  <c r="F13" i="17"/>
  <c r="G13" i="17"/>
  <c r="F14" i="17"/>
  <c r="G14" i="17"/>
  <c r="H14" i="17"/>
  <c r="F15" i="17"/>
  <c r="G15" i="17"/>
  <c r="F16" i="17"/>
  <c r="F17" i="17"/>
  <c r="G17" i="17"/>
  <c r="H17" i="17"/>
  <c r="K17" i="17"/>
  <c r="L17" i="17"/>
  <c r="F18" i="17"/>
  <c r="F19" i="17"/>
  <c r="F20" i="17"/>
  <c r="F21" i="17"/>
  <c r="G21" i="17"/>
  <c r="H21" i="17"/>
  <c r="F22" i="17"/>
  <c r="F23" i="17"/>
  <c r="F24" i="17"/>
  <c r="F25" i="17"/>
  <c r="G25" i="17"/>
  <c r="H25" i="17"/>
  <c r="F26" i="17"/>
  <c r="F27" i="17"/>
  <c r="F28" i="17"/>
  <c r="G28" i="17"/>
  <c r="F29" i="17"/>
  <c r="F30" i="17"/>
  <c r="G30" i="17"/>
  <c r="H30" i="17"/>
  <c r="F31" i="17"/>
  <c r="G31" i="17"/>
  <c r="H31" i="17"/>
  <c r="I31" i="17"/>
  <c r="J31" i="17"/>
  <c r="T31" i="17"/>
  <c r="U31" i="17"/>
  <c r="AA31" i="17"/>
  <c r="F32" i="17"/>
  <c r="G32" i="17"/>
  <c r="H32" i="17"/>
  <c r="I32" i="17"/>
  <c r="J32" i="17"/>
  <c r="T32" i="17"/>
  <c r="U32" i="17"/>
  <c r="AA32" i="17"/>
  <c r="F33" i="17"/>
  <c r="G33" i="17"/>
  <c r="H33" i="17"/>
  <c r="I33" i="17"/>
  <c r="J33" i="17"/>
  <c r="T33" i="17"/>
  <c r="U33" i="17"/>
  <c r="AA33" i="17"/>
  <c r="F34" i="17"/>
  <c r="G34" i="17"/>
  <c r="H34" i="17"/>
  <c r="I34" i="17"/>
  <c r="F35" i="17"/>
  <c r="F36" i="17"/>
  <c r="F37" i="17"/>
  <c r="G37" i="17"/>
  <c r="H37" i="17"/>
  <c r="K37" i="17"/>
  <c r="F38" i="17"/>
  <c r="F39" i="17"/>
  <c r="F40" i="17"/>
  <c r="F41" i="17"/>
  <c r="G41" i="17"/>
  <c r="H41" i="17"/>
  <c r="I41" i="17"/>
  <c r="J41" i="17"/>
  <c r="T41" i="17"/>
  <c r="U41" i="17"/>
  <c r="AA41" i="17"/>
  <c r="F42" i="17"/>
  <c r="G42" i="17"/>
  <c r="F43" i="17"/>
  <c r="F44" i="17"/>
  <c r="F45" i="17"/>
  <c r="G45" i="17"/>
  <c r="F46" i="17"/>
  <c r="G46" i="17"/>
  <c r="F7" i="17"/>
  <c r="G7" i="17"/>
  <c r="H7" i="17"/>
  <c r="K7" i="17"/>
  <c r="F1" i="16"/>
  <c r="C91" i="16"/>
  <c r="F57" i="16"/>
  <c r="G60" i="16"/>
  <c r="F59" i="16"/>
  <c r="F58" i="16"/>
  <c r="C53" i="16"/>
  <c r="E60" i="16"/>
  <c r="C60" i="16"/>
  <c r="D59" i="16"/>
  <c r="B59" i="16"/>
  <c r="D58" i="16"/>
  <c r="B58" i="16"/>
  <c r="D57" i="16"/>
  <c r="B57" i="16"/>
  <c r="E47" i="17"/>
  <c r="D47" i="17"/>
  <c r="G57" i="17"/>
  <c r="D53" i="16"/>
  <c r="S67" i="17"/>
  <c r="C35" i="21"/>
  <c r="C15" i="21"/>
  <c r="C14" i="21"/>
  <c r="S75" i="17"/>
  <c r="S74" i="17"/>
  <c r="S73" i="17"/>
  <c r="C41" i="16"/>
  <c r="A33" i="21"/>
  <c r="E43" i="21"/>
  <c r="E23" i="21"/>
  <c r="E56" i="17"/>
  <c r="D56" i="17"/>
  <c r="B57" i="17"/>
  <c r="A57" i="17"/>
  <c r="A56" i="17"/>
  <c r="I83" i="16"/>
  <c r="D83" i="16"/>
  <c r="C82" i="16"/>
  <c r="D80" i="16"/>
  <c r="E82" i="16"/>
  <c r="D39" i="21"/>
  <c r="B39" i="21"/>
  <c r="C107" i="16"/>
  <c r="S83" i="17"/>
  <c r="C36" i="16"/>
  <c r="S82" i="17"/>
  <c r="C35" i="16"/>
  <c r="S81" i="17"/>
  <c r="C34" i="16"/>
  <c r="G10" i="17"/>
  <c r="H10" i="17"/>
  <c r="I10" i="17"/>
  <c r="J10" i="17"/>
  <c r="G11" i="17"/>
  <c r="H11" i="17"/>
  <c r="K11" i="17"/>
  <c r="L11" i="17"/>
  <c r="G12" i="17"/>
  <c r="G19" i="17"/>
  <c r="H19" i="17"/>
  <c r="G20" i="17"/>
  <c r="H20" i="17"/>
  <c r="I20" i="17"/>
  <c r="J20" i="17"/>
  <c r="T20" i="17"/>
  <c r="U20" i="17"/>
  <c r="AA20" i="17"/>
  <c r="G22" i="17"/>
  <c r="G23" i="17"/>
  <c r="H23" i="17"/>
  <c r="H28" i="17"/>
  <c r="G29" i="17"/>
  <c r="G36" i="17"/>
  <c r="G38" i="17"/>
  <c r="H38" i="17"/>
  <c r="G39" i="17"/>
  <c r="H39" i="17"/>
  <c r="H42" i="17"/>
  <c r="I42" i="17"/>
  <c r="J42" i="17"/>
  <c r="T42" i="17"/>
  <c r="U42" i="17"/>
  <c r="AA42" i="17"/>
  <c r="G43" i="17"/>
  <c r="H43" i="17"/>
  <c r="I43" i="17"/>
  <c r="J43" i="17"/>
  <c r="T43" i="17"/>
  <c r="U43" i="17"/>
  <c r="AA43" i="17"/>
  <c r="G44" i="17"/>
  <c r="H44" i="17"/>
  <c r="A13" i="21"/>
  <c r="D45" i="17"/>
  <c r="D46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B36" i="2"/>
  <c r="C36" i="2"/>
  <c r="B6" i="2"/>
  <c r="B7" i="2"/>
  <c r="E36" i="2"/>
  <c r="F36" i="2"/>
  <c r="G36" i="2"/>
  <c r="H5" i="4"/>
  <c r="I36" i="2"/>
  <c r="H40" i="2"/>
  <c r="D40" i="2"/>
  <c r="I39" i="2"/>
  <c r="H39" i="2"/>
  <c r="G39" i="2"/>
  <c r="F39" i="2"/>
  <c r="E39" i="2"/>
  <c r="D39" i="2"/>
  <c r="C39" i="2"/>
  <c r="B39" i="2"/>
  <c r="H36" i="2"/>
  <c r="D36" i="2"/>
  <c r="E5" i="4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E40" i="2"/>
  <c r="I39" i="3"/>
  <c r="I40" i="3"/>
  <c r="I36" i="3"/>
  <c r="I40" i="2"/>
  <c r="G39" i="3"/>
  <c r="G40" i="3"/>
  <c r="G40" i="2"/>
  <c r="F39" i="3"/>
  <c r="F40" i="3"/>
  <c r="F40" i="2"/>
  <c r="C39" i="3"/>
  <c r="C40" i="3"/>
  <c r="C40" i="2"/>
  <c r="B39" i="3"/>
  <c r="B40" i="3"/>
  <c r="H39" i="3"/>
  <c r="E39" i="3"/>
  <c r="D39" i="3"/>
  <c r="I38" i="3"/>
  <c r="H38" i="3"/>
  <c r="G38" i="3"/>
  <c r="F38" i="3"/>
  <c r="E38" i="3"/>
  <c r="D38" i="3"/>
  <c r="C38" i="3"/>
  <c r="B38" i="3"/>
  <c r="H36" i="3"/>
  <c r="I7" i="4"/>
  <c r="D36" i="3"/>
  <c r="E7" i="4"/>
  <c r="B6" i="3"/>
  <c r="B7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E36" i="3"/>
  <c r="L14" i="4"/>
  <c r="H22" i="4"/>
  <c r="H18" i="4"/>
  <c r="J22" i="4"/>
  <c r="J18" i="4"/>
  <c r="J14" i="4"/>
  <c r="H14" i="4"/>
  <c r="F22" i="4"/>
  <c r="F18" i="4"/>
  <c r="F14" i="4"/>
  <c r="D22" i="4"/>
  <c r="D18" i="4"/>
  <c r="D14" i="4"/>
  <c r="E14" i="4"/>
  <c r="C6" i="4"/>
  <c r="J6" i="4"/>
  <c r="I6" i="4"/>
  <c r="H6" i="4"/>
  <c r="G6" i="4"/>
  <c r="F6" i="4"/>
  <c r="E6" i="4"/>
  <c r="D6" i="4"/>
  <c r="I5" i="4"/>
  <c r="G5" i="4"/>
  <c r="D5" i="4"/>
  <c r="C5" i="4"/>
  <c r="L22" i="4"/>
  <c r="L18" i="4"/>
  <c r="F7" i="4"/>
  <c r="U5" i="17"/>
  <c r="G36" i="3"/>
  <c r="H7" i="4"/>
  <c r="B8" i="3"/>
  <c r="B9" i="3"/>
  <c r="C36" i="3"/>
  <c r="C24" i="3"/>
  <c r="D24" i="3"/>
  <c r="C44" i="16"/>
  <c r="C37" i="16"/>
  <c r="F36" i="3"/>
  <c r="G7" i="4"/>
  <c r="B36" i="3"/>
  <c r="C19" i="3"/>
  <c r="B40" i="2"/>
  <c r="J5" i="4"/>
  <c r="D7" i="2"/>
  <c r="B8" i="2"/>
  <c r="B10" i="3"/>
  <c r="F5" i="4"/>
  <c r="C7" i="2"/>
  <c r="C8" i="2"/>
  <c r="C6" i="2"/>
  <c r="C5" i="2"/>
  <c r="D6" i="2"/>
  <c r="F6" i="2"/>
  <c r="C7" i="3"/>
  <c r="D5" i="2"/>
  <c r="E6" i="2"/>
  <c r="F7" i="2"/>
  <c r="E7" i="2"/>
  <c r="B9" i="2"/>
  <c r="D8" i="2"/>
  <c r="B11" i="3"/>
  <c r="G6" i="2"/>
  <c r="B13" i="4"/>
  <c r="B14" i="4"/>
  <c r="M14" i="4"/>
  <c r="B15" i="4"/>
  <c r="B10" i="2"/>
  <c r="C9" i="2"/>
  <c r="B12" i="3"/>
  <c r="F8" i="2"/>
  <c r="E8" i="2"/>
  <c r="G7" i="2"/>
  <c r="E5" i="2"/>
  <c r="G8" i="2"/>
  <c r="H8" i="2"/>
  <c r="I8" i="2"/>
  <c r="J8" i="2"/>
  <c r="B13" i="3"/>
  <c r="H7" i="2"/>
  <c r="I7" i="2"/>
  <c r="J7" i="2"/>
  <c r="B11" i="2"/>
  <c r="C10" i="2"/>
  <c r="I14" i="4"/>
  <c r="E22" i="4"/>
  <c r="E18" i="4"/>
  <c r="K22" i="4"/>
  <c r="I18" i="4"/>
  <c r="G22" i="4"/>
  <c r="K14" i="4"/>
  <c r="K18" i="4"/>
  <c r="G18" i="4"/>
  <c r="I22" i="4"/>
  <c r="G14" i="4"/>
  <c r="F5" i="2"/>
  <c r="D13" i="4"/>
  <c r="E13" i="4"/>
  <c r="D9" i="2"/>
  <c r="H6" i="2"/>
  <c r="I6" i="2"/>
  <c r="J6" i="2"/>
  <c r="M8" i="2"/>
  <c r="M6" i="2"/>
  <c r="M7" i="2"/>
  <c r="H5" i="2"/>
  <c r="I5" i="2"/>
  <c r="G5" i="2"/>
  <c r="B12" i="2"/>
  <c r="D11" i="2"/>
  <c r="C11" i="2"/>
  <c r="B14" i="3"/>
  <c r="D13" i="3"/>
  <c r="E13" i="3"/>
  <c r="C13" i="3"/>
  <c r="E9" i="2"/>
  <c r="D10" i="2"/>
  <c r="F13" i="4"/>
  <c r="G13" i="4"/>
  <c r="E11" i="2"/>
  <c r="F11" i="2"/>
  <c r="F9" i="2"/>
  <c r="B13" i="2"/>
  <c r="C12" i="2"/>
  <c r="D12" i="2"/>
  <c r="E10" i="2"/>
  <c r="B15" i="3"/>
  <c r="D14" i="3"/>
  <c r="C14" i="3"/>
  <c r="J5" i="2"/>
  <c r="E12" i="2"/>
  <c r="F12" i="2"/>
  <c r="G11" i="2"/>
  <c r="B14" i="2"/>
  <c r="C13" i="2"/>
  <c r="E14" i="3"/>
  <c r="F14" i="3"/>
  <c r="H14" i="3"/>
  <c r="B16" i="3"/>
  <c r="D15" i="3"/>
  <c r="F15" i="3"/>
  <c r="C15" i="3"/>
  <c r="M5" i="2"/>
  <c r="F10" i="2"/>
  <c r="G9" i="2"/>
  <c r="H12" i="2"/>
  <c r="I12" i="2"/>
  <c r="G12" i="2"/>
  <c r="H13" i="4"/>
  <c r="I13" i="4"/>
  <c r="G14" i="3"/>
  <c r="B15" i="2"/>
  <c r="C14" i="2"/>
  <c r="E15" i="3"/>
  <c r="D13" i="2"/>
  <c r="H9" i="2"/>
  <c r="I9" i="2"/>
  <c r="J13" i="4"/>
  <c r="K13" i="4"/>
  <c r="J11" i="2"/>
  <c r="G10" i="2"/>
  <c r="B17" i="3"/>
  <c r="C16" i="3"/>
  <c r="H11" i="2"/>
  <c r="I11" i="2"/>
  <c r="F13" i="2"/>
  <c r="E13" i="2"/>
  <c r="B16" i="2"/>
  <c r="C15" i="2"/>
  <c r="J9" i="2"/>
  <c r="J10" i="2"/>
  <c r="M11" i="2"/>
  <c r="B18" i="3"/>
  <c r="C17" i="3"/>
  <c r="D17" i="3"/>
  <c r="H10" i="2"/>
  <c r="I10" i="2"/>
  <c r="D14" i="2"/>
  <c r="J12" i="2"/>
  <c r="E14" i="2"/>
  <c r="M10" i="2"/>
  <c r="H13" i="2"/>
  <c r="I13" i="2"/>
  <c r="J13" i="2"/>
  <c r="G13" i="2"/>
  <c r="M9" i="2"/>
  <c r="L13" i="4"/>
  <c r="M13" i="4"/>
  <c r="B17" i="2"/>
  <c r="C16" i="2"/>
  <c r="M12" i="2"/>
  <c r="B19" i="3"/>
  <c r="C18" i="3"/>
  <c r="D19" i="4"/>
  <c r="E19" i="4"/>
  <c r="D15" i="2"/>
  <c r="M13" i="2"/>
  <c r="B20" i="3"/>
  <c r="F14" i="2"/>
  <c r="B18" i="2"/>
  <c r="C17" i="2"/>
  <c r="E15" i="2"/>
  <c r="D16" i="2"/>
  <c r="E16" i="2"/>
  <c r="B21" i="3"/>
  <c r="C20" i="3"/>
  <c r="B18" i="4"/>
  <c r="M18" i="4"/>
  <c r="B19" i="4"/>
  <c r="B19" i="2"/>
  <c r="B17" i="4"/>
  <c r="C18" i="2"/>
  <c r="F15" i="2"/>
  <c r="D17" i="2"/>
  <c r="H14" i="2"/>
  <c r="I14" i="2"/>
  <c r="G14" i="2"/>
  <c r="B22" i="3"/>
  <c r="D21" i="3"/>
  <c r="C21" i="3"/>
  <c r="F17" i="2"/>
  <c r="E17" i="2"/>
  <c r="F16" i="2"/>
  <c r="D17" i="4"/>
  <c r="E17" i="4"/>
  <c r="B20" i="2"/>
  <c r="C19" i="2"/>
  <c r="D18" i="2"/>
  <c r="J14" i="2"/>
  <c r="G15" i="2"/>
  <c r="D20" i="3"/>
  <c r="G17" i="2"/>
  <c r="H17" i="2"/>
  <c r="I17" i="2"/>
  <c r="J17" i="2"/>
  <c r="E21" i="3"/>
  <c r="G16" i="2"/>
  <c r="H15" i="2"/>
  <c r="I15" i="2"/>
  <c r="J15" i="2"/>
  <c r="E18" i="2"/>
  <c r="B21" i="2"/>
  <c r="C20" i="2"/>
  <c r="B23" i="3"/>
  <c r="C22" i="3"/>
  <c r="M14" i="2"/>
  <c r="D19" i="2"/>
  <c r="M15" i="2"/>
  <c r="M17" i="2"/>
  <c r="F17" i="4"/>
  <c r="G17" i="4"/>
  <c r="B22" i="2"/>
  <c r="C21" i="2"/>
  <c r="F18" i="2"/>
  <c r="B24" i="3"/>
  <c r="C23" i="3"/>
  <c r="E19" i="2"/>
  <c r="D22" i="3"/>
  <c r="E22" i="3"/>
  <c r="D20" i="2"/>
  <c r="H16" i="2"/>
  <c r="I16" i="2"/>
  <c r="J16" i="2"/>
  <c r="M16" i="2"/>
  <c r="F19" i="2"/>
  <c r="B25" i="3"/>
  <c r="G18" i="2"/>
  <c r="E20" i="2"/>
  <c r="D21" i="2"/>
  <c r="B23" i="2"/>
  <c r="C22" i="2"/>
  <c r="D22" i="2"/>
  <c r="E22" i="2"/>
  <c r="F22" i="2"/>
  <c r="H17" i="4"/>
  <c r="I17" i="4"/>
  <c r="F21" i="2"/>
  <c r="E21" i="2"/>
  <c r="B26" i="3"/>
  <c r="C25" i="3"/>
  <c r="D25" i="3"/>
  <c r="B24" i="2"/>
  <c r="C23" i="2"/>
  <c r="F20" i="2"/>
  <c r="H18" i="2"/>
  <c r="I18" i="2"/>
  <c r="J17" i="4"/>
  <c r="K17" i="4"/>
  <c r="G19" i="2"/>
  <c r="G22" i="2"/>
  <c r="H22" i="2"/>
  <c r="I22" i="2"/>
  <c r="E24" i="3"/>
  <c r="B27" i="3"/>
  <c r="C26" i="3"/>
  <c r="G21" i="2"/>
  <c r="H21" i="2"/>
  <c r="I21" i="2"/>
  <c r="B25" i="2"/>
  <c r="D24" i="2"/>
  <c r="C24" i="2"/>
  <c r="D23" i="2"/>
  <c r="J18" i="2"/>
  <c r="H19" i="2"/>
  <c r="I19" i="2"/>
  <c r="J19" i="2"/>
  <c r="G20" i="2"/>
  <c r="J21" i="2"/>
  <c r="M19" i="2"/>
  <c r="E24" i="2"/>
  <c r="F24" i="2"/>
  <c r="M21" i="2"/>
  <c r="M18" i="2"/>
  <c r="L17" i="4"/>
  <c r="M17" i="4"/>
  <c r="K17" i="2"/>
  <c r="L17" i="2"/>
  <c r="K14" i="2"/>
  <c r="L14" i="2"/>
  <c r="K9" i="2"/>
  <c r="L9" i="2"/>
  <c r="K11" i="2"/>
  <c r="L11" i="2"/>
  <c r="K13" i="2"/>
  <c r="L13" i="2"/>
  <c r="K18" i="2"/>
  <c r="L18" i="2"/>
  <c r="K8" i="2"/>
  <c r="L8" i="2"/>
  <c r="K10" i="2"/>
  <c r="L10" i="2"/>
  <c r="K5" i="2"/>
  <c r="L5" i="2"/>
  <c r="K6" i="2"/>
  <c r="L6" i="2"/>
  <c r="K7" i="2"/>
  <c r="L7" i="2"/>
  <c r="K15" i="2"/>
  <c r="L15" i="2"/>
  <c r="K16" i="2"/>
  <c r="L16" i="2"/>
  <c r="K12" i="2"/>
  <c r="L12" i="2"/>
  <c r="K19" i="2"/>
  <c r="L19" i="2"/>
  <c r="K20" i="2"/>
  <c r="K21" i="2"/>
  <c r="L21" i="2"/>
  <c r="K22" i="2"/>
  <c r="K23" i="2"/>
  <c r="F23" i="2"/>
  <c r="E23" i="2"/>
  <c r="K24" i="2"/>
  <c r="H20" i="2"/>
  <c r="I20" i="2"/>
  <c r="J20" i="2"/>
  <c r="N25" i="2"/>
  <c r="K25" i="2"/>
  <c r="B26" i="2"/>
  <c r="C25" i="2"/>
  <c r="B28" i="3"/>
  <c r="C27" i="3"/>
  <c r="D27" i="3"/>
  <c r="J22" i="2"/>
  <c r="E27" i="3"/>
  <c r="F23" i="4"/>
  <c r="G23" i="4"/>
  <c r="L20" i="2"/>
  <c r="M20" i="2"/>
  <c r="G24" i="2"/>
  <c r="H24" i="2"/>
  <c r="I24" i="2"/>
  <c r="G23" i="2"/>
  <c r="H23" i="2"/>
  <c r="I23" i="2"/>
  <c r="J23" i="2"/>
  <c r="B27" i="2"/>
  <c r="N26" i="2"/>
  <c r="K26" i="2"/>
  <c r="C26" i="2"/>
  <c r="P25" i="2"/>
  <c r="S25" i="2"/>
  <c r="R5" i="2"/>
  <c r="R21" i="2"/>
  <c r="R6" i="2"/>
  <c r="R19" i="2"/>
  <c r="P21" i="2"/>
  <c r="S21" i="2"/>
  <c r="T21" i="2"/>
  <c r="R25" i="2"/>
  <c r="P7" i="2"/>
  <c r="R20" i="2"/>
  <c r="P18" i="2"/>
  <c r="S18" i="2"/>
  <c r="T18" i="2"/>
  <c r="P14" i="2"/>
  <c r="R17" i="2"/>
  <c r="R14" i="2"/>
  <c r="R22" i="2"/>
  <c r="P10" i="2"/>
  <c r="P20" i="2"/>
  <c r="S20" i="2"/>
  <c r="T20" i="2"/>
  <c r="P24" i="2"/>
  <c r="S24" i="2"/>
  <c r="R23" i="2"/>
  <c r="P12" i="2"/>
  <c r="P5" i="2"/>
  <c r="R8" i="2"/>
  <c r="R12" i="2"/>
  <c r="R26" i="2"/>
  <c r="P17" i="2"/>
  <c r="P15" i="2"/>
  <c r="R10" i="2"/>
  <c r="R15" i="2"/>
  <c r="R16" i="2"/>
  <c r="P9" i="2"/>
  <c r="P22" i="2"/>
  <c r="S22" i="2"/>
  <c r="P19" i="2"/>
  <c r="S19" i="2"/>
  <c r="T19" i="2"/>
  <c r="P11" i="2"/>
  <c r="R18" i="2"/>
  <c r="R7" i="2"/>
  <c r="P23" i="2"/>
  <c r="S23" i="2"/>
  <c r="P16" i="2"/>
  <c r="R27" i="2"/>
  <c r="R13" i="2"/>
  <c r="R11" i="2"/>
  <c r="Q18" i="2"/>
  <c r="P26" i="2"/>
  <c r="S26" i="2"/>
  <c r="P27" i="2"/>
  <c r="S27" i="2"/>
  <c r="R24" i="2"/>
  <c r="P6" i="2"/>
  <c r="P8" i="2"/>
  <c r="R9" i="2"/>
  <c r="P13" i="2"/>
  <c r="N17" i="2"/>
  <c r="O17" i="2"/>
  <c r="N5" i="2"/>
  <c r="O5" i="2"/>
  <c r="N7" i="2"/>
  <c r="O7" i="2"/>
  <c r="N8" i="2"/>
  <c r="O8" i="2"/>
  <c r="N10" i="2"/>
  <c r="O10" i="2"/>
  <c r="N12" i="2"/>
  <c r="O12" i="2"/>
  <c r="N16" i="2"/>
  <c r="O16" i="2"/>
  <c r="N15" i="2"/>
  <c r="O15" i="2"/>
  <c r="N14" i="2"/>
  <c r="O14" i="2"/>
  <c r="N6" i="2"/>
  <c r="O6" i="2"/>
  <c r="N9" i="2"/>
  <c r="O9" i="2"/>
  <c r="N11" i="2"/>
  <c r="O11" i="2"/>
  <c r="N13" i="2"/>
  <c r="O13" i="2"/>
  <c r="N18" i="2"/>
  <c r="O18" i="2"/>
  <c r="N19" i="2"/>
  <c r="N20" i="2"/>
  <c r="N21" i="2"/>
  <c r="N22" i="2"/>
  <c r="N23" i="2"/>
  <c r="N24" i="2"/>
  <c r="D25" i="2"/>
  <c r="L22" i="2"/>
  <c r="M22" i="2"/>
  <c r="T22" i="2"/>
  <c r="D23" i="4"/>
  <c r="E23" i="4"/>
  <c r="B29" i="3"/>
  <c r="C28" i="3"/>
  <c r="Q21" i="2"/>
  <c r="O21" i="2"/>
  <c r="O19" i="2"/>
  <c r="Q19" i="2"/>
  <c r="M23" i="2"/>
  <c r="T23" i="2"/>
  <c r="L23" i="2"/>
  <c r="B30" i="3"/>
  <c r="C29" i="3"/>
  <c r="O22" i="2"/>
  <c r="Q22" i="2"/>
  <c r="S9" i="2"/>
  <c r="T9" i="2"/>
  <c r="Q9" i="2"/>
  <c r="S12" i="2"/>
  <c r="T12" i="2"/>
  <c r="Q12" i="2"/>
  <c r="S10" i="2"/>
  <c r="T10" i="2"/>
  <c r="Q10" i="2"/>
  <c r="S14" i="2"/>
  <c r="T14" i="2"/>
  <c r="Q14" i="2"/>
  <c r="B21" i="4"/>
  <c r="K27" i="2"/>
  <c r="N27" i="2"/>
  <c r="C27" i="2"/>
  <c r="B28" i="2"/>
  <c r="B22" i="4"/>
  <c r="M22" i="4"/>
  <c r="B23" i="4"/>
  <c r="D27" i="2"/>
  <c r="O20" i="2"/>
  <c r="Q20" i="2"/>
  <c r="D28" i="3"/>
  <c r="E28" i="3"/>
  <c r="F28" i="3"/>
  <c r="S11" i="2"/>
  <c r="T11" i="2"/>
  <c r="Q11" i="2"/>
  <c r="F25" i="2"/>
  <c r="E25" i="2"/>
  <c r="S8" i="2"/>
  <c r="T8" i="2"/>
  <c r="Q8" i="2"/>
  <c r="S16" i="2"/>
  <c r="T16" i="2"/>
  <c r="Q16" i="2"/>
  <c r="S15" i="2"/>
  <c r="T15" i="2"/>
  <c r="Q15" i="2"/>
  <c r="D26" i="2"/>
  <c r="J24" i="2"/>
  <c r="F27" i="3"/>
  <c r="S13" i="2"/>
  <c r="T13" i="2"/>
  <c r="Q13" i="2"/>
  <c r="S6" i="2"/>
  <c r="T6" i="2"/>
  <c r="Q6" i="2"/>
  <c r="S17" i="2"/>
  <c r="T17" i="2"/>
  <c r="Q17" i="2"/>
  <c r="S5" i="2"/>
  <c r="T5" i="2"/>
  <c r="Q5" i="2"/>
  <c r="S7" i="2"/>
  <c r="T7" i="2"/>
  <c r="Q7" i="2"/>
  <c r="M24" i="2"/>
  <c r="T24" i="2"/>
  <c r="L24" i="2"/>
  <c r="D29" i="3"/>
  <c r="G25" i="2"/>
  <c r="J25" i="2"/>
  <c r="H25" i="2"/>
  <c r="I25" i="2"/>
  <c r="B31" i="3"/>
  <c r="C30" i="3"/>
  <c r="E26" i="2"/>
  <c r="F26" i="2"/>
  <c r="K28" i="2"/>
  <c r="B29" i="2"/>
  <c r="N28" i="2"/>
  <c r="C28" i="2"/>
  <c r="P28" i="2"/>
  <c r="S28" i="2"/>
  <c r="R28" i="2"/>
  <c r="G27" i="3"/>
  <c r="E27" i="2"/>
  <c r="F21" i="4"/>
  <c r="G21" i="4"/>
  <c r="D21" i="4"/>
  <c r="E21" i="4"/>
  <c r="O23" i="2"/>
  <c r="Q23" i="2"/>
  <c r="T25" i="2"/>
  <c r="M25" i="2"/>
  <c r="L25" i="2"/>
  <c r="H26" i="2"/>
  <c r="I26" i="2"/>
  <c r="J26" i="2"/>
  <c r="G26" i="2"/>
  <c r="D28" i="2"/>
  <c r="C31" i="3"/>
  <c r="F27" i="2"/>
  <c r="B30" i="2"/>
  <c r="K29" i="2"/>
  <c r="D29" i="2"/>
  <c r="N29" i="2"/>
  <c r="C29" i="2"/>
  <c r="R29" i="2"/>
  <c r="P29" i="2"/>
  <c r="S29" i="2"/>
  <c r="Q24" i="2"/>
  <c r="O24" i="2"/>
  <c r="T26" i="2"/>
  <c r="M26" i="2"/>
  <c r="L26" i="2"/>
  <c r="E29" i="2"/>
  <c r="F29" i="2"/>
  <c r="Q25" i="2"/>
  <c r="O25" i="2"/>
  <c r="E28" i="2"/>
  <c r="B31" i="2"/>
  <c r="K30" i="2"/>
  <c r="N30" i="2"/>
  <c r="C30" i="2"/>
  <c r="D30" i="2"/>
  <c r="P30" i="2"/>
  <c r="S30" i="2"/>
  <c r="R30" i="2"/>
  <c r="G27" i="2"/>
  <c r="G29" i="2"/>
  <c r="H29" i="2"/>
  <c r="I29" i="2"/>
  <c r="F30" i="2"/>
  <c r="E30" i="2"/>
  <c r="H21" i="4"/>
  <c r="I21" i="4"/>
  <c r="J27" i="2"/>
  <c r="H27" i="2"/>
  <c r="I27" i="2"/>
  <c r="J21" i="4"/>
  <c r="K21" i="4"/>
  <c r="Q26" i="2"/>
  <c r="O26" i="2"/>
  <c r="N31" i="2"/>
  <c r="C31" i="2"/>
  <c r="D31" i="2"/>
  <c r="K31" i="2"/>
  <c r="P31" i="2"/>
  <c r="S31" i="2"/>
  <c r="R31" i="2"/>
  <c r="F28" i="2"/>
  <c r="E31" i="2"/>
  <c r="E32" i="2"/>
  <c r="L21" i="4"/>
  <c r="M21" i="4"/>
  <c r="M27" i="2"/>
  <c r="L27" i="2"/>
  <c r="T27" i="2"/>
  <c r="H28" i="2"/>
  <c r="I28" i="2"/>
  <c r="G28" i="2"/>
  <c r="G30" i="2"/>
  <c r="C32" i="2"/>
  <c r="J29" i="2"/>
  <c r="T29" i="2"/>
  <c r="M29" i="2"/>
  <c r="L29" i="2"/>
  <c r="H30" i="2"/>
  <c r="I30" i="2"/>
  <c r="J30" i="2"/>
  <c r="F31" i="2"/>
  <c r="J28" i="2"/>
  <c r="O27" i="2"/>
  <c r="Q27" i="2"/>
  <c r="L30" i="2"/>
  <c r="M30" i="2"/>
  <c r="T30" i="2"/>
  <c r="M28" i="2"/>
  <c r="T28" i="2"/>
  <c r="L28" i="2"/>
  <c r="G31" i="2"/>
  <c r="H31" i="2"/>
  <c r="I31" i="2"/>
  <c r="I32" i="2"/>
  <c r="Q29" i="2"/>
  <c r="O29" i="2"/>
  <c r="Q28" i="2"/>
  <c r="O28" i="2"/>
  <c r="G32" i="2"/>
  <c r="J31" i="2"/>
  <c r="O30" i="2"/>
  <c r="Q30" i="2"/>
  <c r="M31" i="2"/>
  <c r="L31" i="2"/>
  <c r="T31" i="2"/>
  <c r="O31" i="2"/>
  <c r="Q31" i="2"/>
  <c r="D57" i="17"/>
  <c r="G27" i="17"/>
  <c r="I21" i="17"/>
  <c r="J21" i="17"/>
  <c r="T21" i="17"/>
  <c r="U21" i="17"/>
  <c r="AA21" i="17"/>
  <c r="K44" i="17"/>
  <c r="G18" i="17"/>
  <c r="H18" i="17"/>
  <c r="I18" i="17"/>
  <c r="G35" i="17"/>
  <c r="I44" i="17"/>
  <c r="J44" i="17"/>
  <c r="T44" i="17"/>
  <c r="U44" i="17"/>
  <c r="AA44" i="17"/>
  <c r="I28" i="17"/>
  <c r="J28" i="17"/>
  <c r="T28" i="17"/>
  <c r="U28" i="17"/>
  <c r="AA28" i="17"/>
  <c r="J34" i="17"/>
  <c r="T34" i="17"/>
  <c r="U34" i="17"/>
  <c r="AA34" i="17"/>
  <c r="L7" i="17"/>
  <c r="M7" i="17"/>
  <c r="N7" i="17"/>
  <c r="O7" i="17"/>
  <c r="P7" i="17"/>
  <c r="Q7" i="17"/>
  <c r="K23" i="17"/>
  <c r="L23" i="17"/>
  <c r="M23" i="17"/>
  <c r="N23" i="17"/>
  <c r="I7" i="17"/>
  <c r="J7" i="17"/>
  <c r="I9" i="17"/>
  <c r="J9" i="17"/>
  <c r="K9" i="17"/>
  <c r="L9" i="17"/>
  <c r="K43" i="17"/>
  <c r="L43" i="17"/>
  <c r="H15" i="17"/>
  <c r="I15" i="17"/>
  <c r="AA15" i="17"/>
  <c r="K21" i="17"/>
  <c r="I39" i="17"/>
  <c r="J39" i="17"/>
  <c r="T39" i="17"/>
  <c r="U39" i="17"/>
  <c r="AA39" i="17"/>
  <c r="K39" i="17"/>
  <c r="I19" i="17"/>
  <c r="K32" i="17"/>
  <c r="G24" i="17"/>
  <c r="M17" i="17"/>
  <c r="N17" i="17"/>
  <c r="O17" i="17"/>
  <c r="I30" i="17"/>
  <c r="J30" i="17"/>
  <c r="T30" i="17"/>
  <c r="U30" i="17"/>
  <c r="AA30" i="17"/>
  <c r="K30" i="17"/>
  <c r="B56" i="17"/>
  <c r="B45" i="17"/>
  <c r="A45" i="17"/>
  <c r="H13" i="17"/>
  <c r="L37" i="17"/>
  <c r="M37" i="17"/>
  <c r="N37" i="17"/>
  <c r="O37" i="17"/>
  <c r="P37" i="17"/>
  <c r="H22" i="17"/>
  <c r="I17" i="17"/>
  <c r="AA18" i="17"/>
  <c r="J18" i="17"/>
  <c r="T18" i="17"/>
  <c r="U18" i="17"/>
  <c r="H36" i="17"/>
  <c r="K25" i="17"/>
  <c r="I25" i="17"/>
  <c r="J25" i="17"/>
  <c r="T25" i="17"/>
  <c r="U25" i="17"/>
  <c r="AA25" i="17"/>
  <c r="H12" i="17"/>
  <c r="K42" i="17"/>
  <c r="H27" i="17"/>
  <c r="M11" i="17"/>
  <c r="N11" i="17"/>
  <c r="O11" i="17"/>
  <c r="K33" i="17"/>
  <c r="L44" i="17"/>
  <c r="M44" i="17"/>
  <c r="N44" i="17"/>
  <c r="O44" i="17"/>
  <c r="P44" i="17"/>
  <c r="O23" i="17"/>
  <c r="P23" i="17"/>
  <c r="Q23" i="17"/>
  <c r="AB23" i="17"/>
  <c r="I23" i="17"/>
  <c r="J23" i="17"/>
  <c r="T23" i="17"/>
  <c r="U23" i="17"/>
  <c r="AA23" i="17"/>
  <c r="K41" i="17"/>
  <c r="K18" i="17"/>
  <c r="I11" i="17"/>
  <c r="G40" i="17"/>
  <c r="F56" i="17"/>
  <c r="J61" i="17"/>
  <c r="G16" i="17"/>
  <c r="B62" i="17"/>
  <c r="I57" i="17"/>
  <c r="J57" i="17"/>
  <c r="K34" i="17"/>
  <c r="I37" i="17"/>
  <c r="J37" i="17"/>
  <c r="T37" i="17"/>
  <c r="U37" i="17"/>
  <c r="AA37" i="17"/>
  <c r="K31" i="17"/>
  <c r="K19" i="17"/>
  <c r="K10" i="17"/>
  <c r="H45" i="17"/>
  <c r="K45" i="17"/>
  <c r="H35" i="17"/>
  <c r="K35" i="17"/>
  <c r="G26" i="17"/>
  <c r="K14" i="17"/>
  <c r="G8" i="17"/>
  <c r="K28" i="17"/>
  <c r="H29" i="17"/>
  <c r="K29" i="17"/>
  <c r="K20" i="17"/>
  <c r="I14" i="17"/>
  <c r="K38" i="17"/>
  <c r="I38" i="17"/>
  <c r="J38" i="17"/>
  <c r="T38" i="17"/>
  <c r="U38" i="17"/>
  <c r="AA38" i="17"/>
  <c r="I93" i="16"/>
  <c r="H103" i="16"/>
  <c r="I77" i="16"/>
  <c r="R56" i="17"/>
  <c r="R57" i="17"/>
  <c r="F59" i="17"/>
  <c r="D23" i="3"/>
  <c r="J27" i="3"/>
  <c r="E20" i="3"/>
  <c r="F20" i="3"/>
  <c r="D30" i="3"/>
  <c r="F21" i="3"/>
  <c r="E29" i="3"/>
  <c r="F29" i="3"/>
  <c r="F24" i="3"/>
  <c r="D19" i="3"/>
  <c r="H27" i="3"/>
  <c r="I27" i="3"/>
  <c r="J23" i="4"/>
  <c r="K23" i="4"/>
  <c r="D26" i="3"/>
  <c r="E17" i="3"/>
  <c r="F17" i="3"/>
  <c r="I14" i="3"/>
  <c r="J14" i="3"/>
  <c r="J7" i="4"/>
  <c r="H23" i="4"/>
  <c r="I23" i="4"/>
  <c r="F22" i="3"/>
  <c r="C32" i="3"/>
  <c r="D31" i="3"/>
  <c r="G28" i="3"/>
  <c r="H28" i="3"/>
  <c r="I28" i="3"/>
  <c r="E25" i="3"/>
  <c r="H15" i="3"/>
  <c r="I15" i="3"/>
  <c r="G15" i="3"/>
  <c r="C11" i="3"/>
  <c r="C10" i="3"/>
  <c r="C7" i="4"/>
  <c r="C6" i="3"/>
  <c r="D18" i="3"/>
  <c r="C8" i="3"/>
  <c r="D16" i="3"/>
  <c r="C5" i="3"/>
  <c r="D7" i="4"/>
  <c r="F13" i="3"/>
  <c r="C12" i="3"/>
  <c r="D7" i="3"/>
  <c r="C9" i="3"/>
  <c r="M43" i="17"/>
  <c r="N43" i="17"/>
  <c r="O43" i="17"/>
  <c r="P43" i="17"/>
  <c r="M9" i="17"/>
  <c r="N9" i="17"/>
  <c r="O9" i="17"/>
  <c r="P9" i="17"/>
  <c r="Q9" i="17"/>
  <c r="B26" i="17"/>
  <c r="A26" i="17"/>
  <c r="B58" i="17"/>
  <c r="L21" i="17"/>
  <c r="M21" i="17"/>
  <c r="N21" i="17"/>
  <c r="K57" i="17"/>
  <c r="M57" i="17"/>
  <c r="J15" i="17"/>
  <c r="T15" i="17"/>
  <c r="U15" i="17"/>
  <c r="K15" i="17"/>
  <c r="AB17" i="17"/>
  <c r="P17" i="17"/>
  <c r="Q17" i="17"/>
  <c r="P11" i="17"/>
  <c r="Q11" i="17"/>
  <c r="AB11" i="17"/>
  <c r="L19" i="17"/>
  <c r="M19" i="17"/>
  <c r="N19" i="17"/>
  <c r="I27" i="17"/>
  <c r="J27" i="17"/>
  <c r="T27" i="17"/>
  <c r="U27" i="17"/>
  <c r="AA27" i="17"/>
  <c r="I22" i="17"/>
  <c r="J22" i="17"/>
  <c r="T22" i="17"/>
  <c r="U22" i="17"/>
  <c r="AA22" i="17"/>
  <c r="B39" i="17"/>
  <c r="A39" i="17"/>
  <c r="B36" i="17"/>
  <c r="A36" i="17"/>
  <c r="L28" i="17"/>
  <c r="L31" i="17"/>
  <c r="M31" i="17"/>
  <c r="N31" i="17"/>
  <c r="K22" i="17"/>
  <c r="B34" i="17"/>
  <c r="A34" i="17"/>
  <c r="R34" i="17"/>
  <c r="L18" i="17"/>
  <c r="M18" i="17"/>
  <c r="N18" i="17"/>
  <c r="I12" i="17"/>
  <c r="B33" i="17"/>
  <c r="A33" i="17"/>
  <c r="B46" i="17"/>
  <c r="A46" i="17"/>
  <c r="L20" i="17"/>
  <c r="M20" i="17"/>
  <c r="N20" i="17"/>
  <c r="H8" i="17"/>
  <c r="K8" i="17"/>
  <c r="L34" i="17"/>
  <c r="L41" i="17"/>
  <c r="K12" i="17"/>
  <c r="L30" i="17"/>
  <c r="M30" i="17"/>
  <c r="N30" i="17"/>
  <c r="AA19" i="17"/>
  <c r="J19" i="17"/>
  <c r="T19" i="17"/>
  <c r="U19" i="17"/>
  <c r="H16" i="17"/>
  <c r="K16" i="17"/>
  <c r="L33" i="17"/>
  <c r="M33" i="17"/>
  <c r="N33" i="17"/>
  <c r="I36" i="17"/>
  <c r="J36" i="17"/>
  <c r="T36" i="17"/>
  <c r="U36" i="17"/>
  <c r="AA36" i="17"/>
  <c r="L32" i="17"/>
  <c r="L38" i="17"/>
  <c r="M38" i="17"/>
  <c r="N38" i="17"/>
  <c r="L45" i="17"/>
  <c r="L42" i="17"/>
  <c r="M42" i="17"/>
  <c r="N42" i="17"/>
  <c r="B25" i="17"/>
  <c r="A25" i="17"/>
  <c r="B15" i="17"/>
  <c r="A15" i="17"/>
  <c r="J14" i="17"/>
  <c r="T14" i="17"/>
  <c r="U14" i="17"/>
  <c r="AA14" i="17"/>
  <c r="I45" i="17"/>
  <c r="J45" i="17"/>
  <c r="T45" i="17"/>
  <c r="U45" i="17"/>
  <c r="AA45" i="17"/>
  <c r="B30" i="17"/>
  <c r="A30" i="17"/>
  <c r="L14" i="17"/>
  <c r="M14" i="17"/>
  <c r="N14" i="17"/>
  <c r="L39" i="17"/>
  <c r="M39" i="17"/>
  <c r="N39" i="17"/>
  <c r="H26" i="17"/>
  <c r="K26" i="17"/>
  <c r="H40" i="17"/>
  <c r="K40" i="17"/>
  <c r="L25" i="17"/>
  <c r="M25" i="17"/>
  <c r="N25" i="17"/>
  <c r="B12" i="17"/>
  <c r="A12" i="17"/>
  <c r="B42" i="17"/>
  <c r="A42" i="17"/>
  <c r="L29" i="17"/>
  <c r="M29" i="17"/>
  <c r="N29" i="17"/>
  <c r="L35" i="17"/>
  <c r="M35" i="17"/>
  <c r="N35" i="17"/>
  <c r="O35" i="17"/>
  <c r="P35" i="17"/>
  <c r="I13" i="17"/>
  <c r="B35" i="17"/>
  <c r="A35" i="17"/>
  <c r="S35" i="17"/>
  <c r="I29" i="17"/>
  <c r="J29" i="17"/>
  <c r="T29" i="17"/>
  <c r="U29" i="17"/>
  <c r="AA29" i="17"/>
  <c r="I35" i="17"/>
  <c r="J35" i="17"/>
  <c r="T35" i="17"/>
  <c r="U35" i="17"/>
  <c r="AA35" i="17"/>
  <c r="L10" i="17"/>
  <c r="M10" i="17"/>
  <c r="N10" i="17"/>
  <c r="AA11" i="17"/>
  <c r="J11" i="17"/>
  <c r="T11" i="17"/>
  <c r="U11" i="17"/>
  <c r="K27" i="17"/>
  <c r="K36" i="17"/>
  <c r="J17" i="17"/>
  <c r="T17" i="17"/>
  <c r="U17" i="17"/>
  <c r="AA17" i="17"/>
  <c r="K13" i="17"/>
  <c r="H24" i="17"/>
  <c r="K24" i="17"/>
  <c r="G20" i="3"/>
  <c r="H20" i="3"/>
  <c r="I20" i="3"/>
  <c r="J20" i="3"/>
  <c r="M14" i="3"/>
  <c r="D6" i="3"/>
  <c r="D10" i="3"/>
  <c r="E16" i="3"/>
  <c r="F16" i="3"/>
  <c r="D11" i="3"/>
  <c r="E31" i="3"/>
  <c r="F31" i="3"/>
  <c r="G21" i="3"/>
  <c r="E23" i="3"/>
  <c r="F23" i="3"/>
  <c r="D12" i="3"/>
  <c r="G17" i="3"/>
  <c r="H17" i="3"/>
  <c r="I17" i="3"/>
  <c r="E26" i="3"/>
  <c r="F26" i="3"/>
  <c r="D8" i="3"/>
  <c r="J15" i="3"/>
  <c r="L23" i="4"/>
  <c r="M23" i="4"/>
  <c r="M27" i="3"/>
  <c r="D15" i="4"/>
  <c r="E15" i="4"/>
  <c r="D9" i="3"/>
  <c r="G22" i="3"/>
  <c r="H22" i="3"/>
  <c r="I22" i="3"/>
  <c r="E19" i="3"/>
  <c r="F30" i="3"/>
  <c r="E30" i="3"/>
  <c r="G13" i="3"/>
  <c r="G29" i="3"/>
  <c r="J29" i="3"/>
  <c r="H29" i="3"/>
  <c r="I29" i="3"/>
  <c r="J28" i="3"/>
  <c r="D5" i="3"/>
  <c r="E18" i="3"/>
  <c r="F18" i="3"/>
  <c r="E7" i="3"/>
  <c r="F25" i="3"/>
  <c r="G24" i="3"/>
  <c r="L15" i="17"/>
  <c r="M15" i="17"/>
  <c r="N15" i="17"/>
  <c r="M45" i="17"/>
  <c r="N45" i="17"/>
  <c r="O45" i="17"/>
  <c r="P45" i="17"/>
  <c r="O21" i="17"/>
  <c r="L24" i="17"/>
  <c r="M24" i="17"/>
  <c r="N24" i="17"/>
  <c r="O29" i="17"/>
  <c r="P29" i="17"/>
  <c r="I26" i="17"/>
  <c r="J26" i="17"/>
  <c r="T26" i="17"/>
  <c r="U26" i="17"/>
  <c r="AA26" i="17"/>
  <c r="I8" i="17"/>
  <c r="J8" i="17"/>
  <c r="O39" i="17"/>
  <c r="P39" i="17"/>
  <c r="O30" i="17"/>
  <c r="P30" i="17"/>
  <c r="AA12" i="17"/>
  <c r="J12" i="17"/>
  <c r="T12" i="17"/>
  <c r="U12" i="17"/>
  <c r="M28" i="17"/>
  <c r="N28" i="17"/>
  <c r="O28" i="17"/>
  <c r="P28" i="17"/>
  <c r="AA13" i="17"/>
  <c r="J13" i="17"/>
  <c r="T13" i="17"/>
  <c r="U13" i="17"/>
  <c r="L26" i="17"/>
  <c r="M26" i="17"/>
  <c r="N26" i="17"/>
  <c r="O26" i="17"/>
  <c r="P26" i="17"/>
  <c r="L36" i="17"/>
  <c r="M36" i="17"/>
  <c r="N36" i="17"/>
  <c r="O14" i="17"/>
  <c r="O42" i="17"/>
  <c r="P42" i="17"/>
  <c r="L8" i="17"/>
  <c r="O31" i="17"/>
  <c r="P31" i="17"/>
  <c r="L27" i="17"/>
  <c r="O25" i="17"/>
  <c r="P25" i="17"/>
  <c r="O38" i="17"/>
  <c r="P38" i="17"/>
  <c r="L12" i="17"/>
  <c r="M12" i="17"/>
  <c r="N12" i="17"/>
  <c r="O20" i="17"/>
  <c r="O18" i="17"/>
  <c r="I24" i="17"/>
  <c r="J24" i="17"/>
  <c r="T24" i="17"/>
  <c r="U24" i="17"/>
  <c r="AA24" i="17"/>
  <c r="L40" i="17"/>
  <c r="M40" i="17"/>
  <c r="N40" i="17"/>
  <c r="O40" i="17"/>
  <c r="P40" i="17"/>
  <c r="O33" i="17"/>
  <c r="P33" i="17"/>
  <c r="O19" i="17"/>
  <c r="L13" i="17"/>
  <c r="M13" i="17"/>
  <c r="N13" i="17"/>
  <c r="O10" i="17"/>
  <c r="P10" i="17"/>
  <c r="Q10" i="17"/>
  <c r="I40" i="17"/>
  <c r="J40" i="17"/>
  <c r="T40" i="17"/>
  <c r="U40" i="17"/>
  <c r="AA40" i="17"/>
  <c r="L16" i="17"/>
  <c r="M41" i="17"/>
  <c r="N41" i="17"/>
  <c r="O41" i="17"/>
  <c r="P41" i="17"/>
  <c r="M32" i="17"/>
  <c r="N32" i="17"/>
  <c r="O32" i="17"/>
  <c r="P32" i="17"/>
  <c r="I16" i="17"/>
  <c r="M34" i="17"/>
  <c r="N34" i="17"/>
  <c r="O34" i="17"/>
  <c r="P34" i="17"/>
  <c r="L22" i="17"/>
  <c r="M22" i="17"/>
  <c r="N22" i="17"/>
  <c r="O57" i="17"/>
  <c r="P57" i="17"/>
  <c r="G31" i="3"/>
  <c r="G32" i="3"/>
  <c r="H31" i="3"/>
  <c r="I31" i="3"/>
  <c r="I32" i="3"/>
  <c r="M29" i="3"/>
  <c r="M20" i="3"/>
  <c r="M15" i="3"/>
  <c r="G25" i="3"/>
  <c r="E32" i="3"/>
  <c r="J31" i="3"/>
  <c r="G18" i="3"/>
  <c r="H19" i="4"/>
  <c r="I19" i="4"/>
  <c r="H18" i="3"/>
  <c r="I18" i="3"/>
  <c r="J19" i="4"/>
  <c r="K19" i="4"/>
  <c r="E11" i="3"/>
  <c r="G23" i="3"/>
  <c r="H23" i="3"/>
  <c r="I23" i="3"/>
  <c r="G16" i="3"/>
  <c r="H16" i="3"/>
  <c r="I16" i="3"/>
  <c r="J16" i="3"/>
  <c r="E6" i="3"/>
  <c r="F6" i="3"/>
  <c r="J22" i="3"/>
  <c r="H13" i="3"/>
  <c r="I13" i="3"/>
  <c r="J13" i="3"/>
  <c r="F19" i="4"/>
  <c r="G19" i="4"/>
  <c r="E5" i="3"/>
  <c r="F5" i="3"/>
  <c r="E8" i="3"/>
  <c r="E12" i="3"/>
  <c r="F12" i="3"/>
  <c r="G30" i="3"/>
  <c r="J30" i="3"/>
  <c r="H30" i="3"/>
  <c r="I30" i="3"/>
  <c r="G26" i="3"/>
  <c r="J26" i="3"/>
  <c r="H26" i="3"/>
  <c r="I26" i="3"/>
  <c r="J17" i="3"/>
  <c r="F7" i="3"/>
  <c r="E9" i="3"/>
  <c r="F9" i="3"/>
  <c r="H24" i="3"/>
  <c r="I24" i="3"/>
  <c r="J24" i="3"/>
  <c r="M28" i="3"/>
  <c r="F19" i="3"/>
  <c r="H21" i="3"/>
  <c r="I21" i="3"/>
  <c r="J21" i="3"/>
  <c r="F10" i="3"/>
  <c r="E10" i="3"/>
  <c r="P21" i="17"/>
  <c r="Q21" i="17"/>
  <c r="AB21" i="17"/>
  <c r="M16" i="17"/>
  <c r="N16" i="17"/>
  <c r="O16" i="17"/>
  <c r="M8" i="17"/>
  <c r="N8" i="17"/>
  <c r="O8" i="17"/>
  <c r="P8" i="17"/>
  <c r="Q8" i="17"/>
  <c r="O24" i="17"/>
  <c r="P24" i="17"/>
  <c r="Q24" i="17"/>
  <c r="AB24" i="17"/>
  <c r="O15" i="17"/>
  <c r="P18" i="17"/>
  <c r="Q18" i="17"/>
  <c r="AB18" i="17"/>
  <c r="P20" i="17"/>
  <c r="Q20" i="17"/>
  <c r="AB20" i="17"/>
  <c r="AA16" i="17"/>
  <c r="J16" i="17"/>
  <c r="T16" i="17"/>
  <c r="U16" i="17"/>
  <c r="AB19" i="17"/>
  <c r="P19" i="17"/>
  <c r="Q19" i="17"/>
  <c r="M27" i="17"/>
  <c r="N27" i="17"/>
  <c r="O27" i="17"/>
  <c r="P27" i="17"/>
  <c r="O12" i="17"/>
  <c r="O22" i="17"/>
  <c r="AB14" i="17"/>
  <c r="P14" i="17"/>
  <c r="Q14" i="17"/>
  <c r="O13" i="17"/>
  <c r="O36" i="17"/>
  <c r="P36" i="17"/>
  <c r="M30" i="3"/>
  <c r="G9" i="3"/>
  <c r="H15" i="4"/>
  <c r="I15" i="4"/>
  <c r="G12" i="3"/>
  <c r="H12" i="3"/>
  <c r="I12" i="3"/>
  <c r="J12" i="3"/>
  <c r="M16" i="3"/>
  <c r="M24" i="3"/>
  <c r="M21" i="3"/>
  <c r="M26" i="3"/>
  <c r="M13" i="3"/>
  <c r="J23" i="3"/>
  <c r="F8" i="3"/>
  <c r="G6" i="3"/>
  <c r="J6" i="3"/>
  <c r="H6" i="3"/>
  <c r="I6" i="3"/>
  <c r="J25" i="3"/>
  <c r="G10" i="3"/>
  <c r="M31" i="3"/>
  <c r="M22" i="3"/>
  <c r="F11" i="3"/>
  <c r="H25" i="3"/>
  <c r="I25" i="3"/>
  <c r="F15" i="4"/>
  <c r="G15" i="4"/>
  <c r="G5" i="3"/>
  <c r="H5" i="3"/>
  <c r="I5" i="3"/>
  <c r="J5" i="3"/>
  <c r="G19" i="3"/>
  <c r="H19" i="3"/>
  <c r="I19" i="3"/>
  <c r="G7" i="3"/>
  <c r="M17" i="3"/>
  <c r="J18" i="3"/>
  <c r="AB16" i="17"/>
  <c r="P16" i="17"/>
  <c r="Q16" i="17"/>
  <c r="P15" i="17"/>
  <c r="Q15" i="17"/>
  <c r="AB15" i="17"/>
  <c r="AB12" i="17"/>
  <c r="P12" i="17"/>
  <c r="Q12" i="17"/>
  <c r="AB13" i="17"/>
  <c r="P13" i="17"/>
  <c r="Q13" i="17"/>
  <c r="P22" i="17"/>
  <c r="Q22" i="17"/>
  <c r="AB22" i="17"/>
  <c r="M5" i="3"/>
  <c r="M6" i="3"/>
  <c r="L12" i="3"/>
  <c r="M12" i="3"/>
  <c r="J7" i="3"/>
  <c r="H10" i="3"/>
  <c r="I10" i="3"/>
  <c r="J10" i="3"/>
  <c r="M23" i="3"/>
  <c r="L23" i="3"/>
  <c r="J19" i="3"/>
  <c r="H9" i="3"/>
  <c r="I9" i="3"/>
  <c r="H7" i="3"/>
  <c r="I7" i="3"/>
  <c r="M25" i="3"/>
  <c r="L18" i="3"/>
  <c r="K10" i="3"/>
  <c r="K13" i="3"/>
  <c r="L13" i="3"/>
  <c r="K7" i="3"/>
  <c r="K9" i="3"/>
  <c r="L19" i="4"/>
  <c r="M19" i="4"/>
  <c r="K12" i="3"/>
  <c r="K16" i="3"/>
  <c r="L16" i="3"/>
  <c r="K6" i="3"/>
  <c r="L6" i="3"/>
  <c r="K19" i="3"/>
  <c r="K27" i="3"/>
  <c r="L27" i="3"/>
  <c r="M18" i="3"/>
  <c r="K14" i="3"/>
  <c r="L14" i="3"/>
  <c r="K5" i="3"/>
  <c r="L5" i="3"/>
  <c r="K8" i="3"/>
  <c r="K20" i="3"/>
  <c r="L20" i="3"/>
  <c r="K31" i="3"/>
  <c r="L31" i="3"/>
  <c r="K23" i="3"/>
  <c r="K21" i="3"/>
  <c r="L21" i="3"/>
  <c r="K30" i="3"/>
  <c r="L30" i="3"/>
  <c r="K18" i="3"/>
  <c r="K28" i="3"/>
  <c r="L28" i="3"/>
  <c r="K17" i="3"/>
  <c r="L17" i="3"/>
  <c r="K22" i="3"/>
  <c r="L22" i="3"/>
  <c r="K25" i="3"/>
  <c r="L25" i="3"/>
  <c r="K26" i="3"/>
  <c r="L26" i="3"/>
  <c r="K29" i="3"/>
  <c r="L29" i="3"/>
  <c r="K11" i="3"/>
  <c r="K15" i="3"/>
  <c r="L15" i="3"/>
  <c r="K24" i="3"/>
  <c r="L24" i="3"/>
  <c r="H11" i="3"/>
  <c r="I11" i="3"/>
  <c r="G11" i="3"/>
  <c r="G8" i="3"/>
  <c r="H8" i="3"/>
  <c r="I8" i="3"/>
  <c r="M10" i="3"/>
  <c r="L10" i="3"/>
  <c r="P11" i="3"/>
  <c r="S11" i="3"/>
  <c r="P20" i="3"/>
  <c r="R26" i="3"/>
  <c r="P15" i="3"/>
  <c r="P22" i="3"/>
  <c r="R6" i="3"/>
  <c r="N7" i="3"/>
  <c r="N18" i="3"/>
  <c r="N13" i="3"/>
  <c r="O13" i="3"/>
  <c r="N20" i="3"/>
  <c r="O20" i="3"/>
  <c r="P27" i="3"/>
  <c r="R30" i="3"/>
  <c r="R31" i="3"/>
  <c r="R5" i="3"/>
  <c r="R20" i="3"/>
  <c r="P12" i="3"/>
  <c r="S12" i="3"/>
  <c r="T12" i="3"/>
  <c r="P18" i="3"/>
  <c r="S18" i="3"/>
  <c r="T18" i="3"/>
  <c r="O18" i="3"/>
  <c r="N21" i="3"/>
  <c r="O21" i="3"/>
  <c r="N26" i="3"/>
  <c r="O26" i="3"/>
  <c r="P28" i="3"/>
  <c r="P30" i="3"/>
  <c r="P31" i="3"/>
  <c r="N25" i="3"/>
  <c r="O25" i="3"/>
  <c r="P9" i="3"/>
  <c r="S9" i="3"/>
  <c r="P13" i="3"/>
  <c r="N23" i="3"/>
  <c r="R28" i="3"/>
  <c r="R16" i="3"/>
  <c r="R14" i="3"/>
  <c r="R12" i="3"/>
  <c r="R13" i="3"/>
  <c r="R17" i="3"/>
  <c r="R7" i="3"/>
  <c r="P24" i="3"/>
  <c r="N6" i="3"/>
  <c r="N9" i="3"/>
  <c r="N12" i="3"/>
  <c r="N14" i="3"/>
  <c r="O14" i="3"/>
  <c r="N27" i="3"/>
  <c r="O27" i="3"/>
  <c r="R29" i="3"/>
  <c r="R21" i="3"/>
  <c r="P8" i="3"/>
  <c r="S8" i="3"/>
  <c r="P19" i="3"/>
  <c r="S19" i="3"/>
  <c r="P7" i="3"/>
  <c r="S7" i="3"/>
  <c r="R25" i="3"/>
  <c r="R15" i="3"/>
  <c r="N30" i="3"/>
  <c r="O30" i="3"/>
  <c r="N24" i="3"/>
  <c r="O24" i="3"/>
  <c r="R19" i="3"/>
  <c r="P10" i="3"/>
  <c r="S10" i="3"/>
  <c r="T10" i="3"/>
  <c r="R10" i="3"/>
  <c r="R24" i="3"/>
  <c r="R8" i="3"/>
  <c r="R11" i="3"/>
  <c r="P5" i="3"/>
  <c r="S5" i="3"/>
  <c r="T5" i="3"/>
  <c r="N5" i="3"/>
  <c r="O5" i="3"/>
  <c r="N10" i="3"/>
  <c r="N11" i="3"/>
  <c r="N19" i="3"/>
  <c r="N28" i="3"/>
  <c r="O28" i="3"/>
  <c r="N29" i="3"/>
  <c r="O29" i="3"/>
  <c r="N31" i="3"/>
  <c r="O31" i="3"/>
  <c r="P6" i="3"/>
  <c r="S6" i="3"/>
  <c r="T6" i="3"/>
  <c r="N15" i="3"/>
  <c r="O15" i="3"/>
  <c r="R22" i="3"/>
  <c r="R9" i="3"/>
  <c r="P21" i="3"/>
  <c r="N8" i="3"/>
  <c r="R27" i="3"/>
  <c r="P16" i="3"/>
  <c r="P26" i="3"/>
  <c r="N17" i="3"/>
  <c r="O17" i="3"/>
  <c r="N22" i="3"/>
  <c r="O22" i="3"/>
  <c r="R18" i="3"/>
  <c r="P14" i="3"/>
  <c r="P29" i="3"/>
  <c r="P23" i="3"/>
  <c r="S23" i="3"/>
  <c r="T23" i="3"/>
  <c r="N16" i="3"/>
  <c r="O16" i="3"/>
  <c r="R23" i="3"/>
  <c r="P17" i="3"/>
  <c r="P25" i="3"/>
  <c r="S25" i="3"/>
  <c r="T25" i="3"/>
  <c r="T19" i="3"/>
  <c r="L19" i="3"/>
  <c r="M19" i="3"/>
  <c r="O23" i="3"/>
  <c r="Q23" i="3"/>
  <c r="O6" i="3"/>
  <c r="Q6" i="3"/>
  <c r="M7" i="3"/>
  <c r="T7" i="3"/>
  <c r="L7" i="3"/>
  <c r="Q25" i="3"/>
  <c r="J8" i="3"/>
  <c r="J11" i="3"/>
  <c r="O12" i="3"/>
  <c r="J15" i="4"/>
  <c r="K15" i="4"/>
  <c r="J9" i="3"/>
  <c r="S17" i="3"/>
  <c r="T17" i="3"/>
  <c r="Q17" i="3"/>
  <c r="S13" i="3"/>
  <c r="T13" i="3"/>
  <c r="Q13" i="3"/>
  <c r="M8" i="3"/>
  <c r="T8" i="3"/>
  <c r="L8" i="3"/>
  <c r="S14" i="3"/>
  <c r="T14" i="3"/>
  <c r="Q14" i="3"/>
  <c r="S21" i="3"/>
  <c r="T21" i="3"/>
  <c r="Q21" i="3"/>
  <c r="S28" i="3"/>
  <c r="T28" i="3"/>
  <c r="Q28" i="3"/>
  <c r="S22" i="3"/>
  <c r="T22" i="3"/>
  <c r="Q22" i="3"/>
  <c r="L15" i="4"/>
  <c r="M15" i="4"/>
  <c r="M9" i="3"/>
  <c r="L9" i="3"/>
  <c r="T9" i="3"/>
  <c r="S24" i="3"/>
  <c r="T24" i="3"/>
  <c r="Q24" i="3"/>
  <c r="Q18" i="3"/>
  <c r="S15" i="3"/>
  <c r="T15" i="3"/>
  <c r="Q15" i="3"/>
  <c r="Q12" i="3"/>
  <c r="O7" i="3"/>
  <c r="Q7" i="3"/>
  <c r="S27" i="3"/>
  <c r="T27" i="3"/>
  <c r="Q27" i="3"/>
  <c r="S20" i="3"/>
  <c r="T20" i="3"/>
  <c r="Q20" i="3"/>
  <c r="L11" i="3"/>
  <c r="M11" i="3"/>
  <c r="T11" i="3"/>
  <c r="S26" i="3"/>
  <c r="T26" i="3"/>
  <c r="Q26" i="3"/>
  <c r="S31" i="3"/>
  <c r="T31" i="3"/>
  <c r="Q31" i="3"/>
  <c r="Q10" i="3"/>
  <c r="O10" i="3"/>
  <c r="S16" i="3"/>
  <c r="T16" i="3"/>
  <c r="Q16" i="3"/>
  <c r="Q5" i="3"/>
  <c r="Q19" i="3"/>
  <c r="O19" i="3"/>
  <c r="S29" i="3"/>
  <c r="T29" i="3"/>
  <c r="Q29" i="3"/>
  <c r="S30" i="3"/>
  <c r="T30" i="3"/>
  <c r="Q30" i="3"/>
  <c r="O8" i="3"/>
  <c r="Q8" i="3"/>
  <c r="Q11" i="3"/>
  <c r="O11" i="3"/>
  <c r="Q9" i="3"/>
  <c r="O9" i="3"/>
  <c r="S34" i="17"/>
  <c r="S57" i="17"/>
  <c r="S56" i="17"/>
  <c r="C43" i="16"/>
  <c r="R30" i="17"/>
  <c r="S30" i="17"/>
  <c r="R26" i="17"/>
  <c r="S26" i="17"/>
  <c r="R36" i="17"/>
  <c r="S36" i="17"/>
  <c r="B22" i="17"/>
  <c r="A22" i="17"/>
  <c r="S22" i="17"/>
  <c r="B29" i="17"/>
  <c r="A29" i="17"/>
  <c r="R29" i="17"/>
  <c r="B28" i="17"/>
  <c r="A28" i="17"/>
  <c r="B40" i="17"/>
  <c r="A40" i="17"/>
  <c r="S40" i="17"/>
  <c r="B38" i="17"/>
  <c r="A38" i="17"/>
  <c r="B32" i="17"/>
  <c r="A32" i="17"/>
  <c r="B21" i="17"/>
  <c r="A21" i="17"/>
  <c r="B14" i="17"/>
  <c r="A14" i="17"/>
  <c r="B44" i="17"/>
  <c r="A44" i="17"/>
  <c r="B31" i="17"/>
  <c r="A31" i="17"/>
  <c r="B37" i="17"/>
  <c r="A37" i="17"/>
  <c r="R37" i="17"/>
  <c r="B43" i="17"/>
  <c r="A43" i="17"/>
  <c r="B23" i="17"/>
  <c r="A23" i="17"/>
  <c r="B41" i="17"/>
  <c r="A41" i="17"/>
  <c r="R35" i="17"/>
  <c r="B16" i="17"/>
  <c r="A16" i="17"/>
  <c r="B19" i="17"/>
  <c r="A19" i="17"/>
  <c r="B20" i="17"/>
  <c r="A20" i="17"/>
  <c r="R20" i="17"/>
  <c r="G56" i="17"/>
  <c r="E58" i="17"/>
  <c r="B11" i="17"/>
  <c r="A11" i="17"/>
  <c r="R11" i="17"/>
  <c r="B24" i="17"/>
  <c r="A24" i="17"/>
  <c r="B10" i="17"/>
  <c r="A10" i="17"/>
  <c r="B27" i="17"/>
  <c r="A27" i="17"/>
  <c r="R27" i="17"/>
  <c r="B17" i="17"/>
  <c r="A17" i="17"/>
  <c r="S17" i="17"/>
  <c r="B13" i="17"/>
  <c r="A13" i="17"/>
  <c r="B18" i="17"/>
  <c r="A18" i="17"/>
  <c r="R15" i="17"/>
  <c r="S15" i="17"/>
  <c r="S45" i="17"/>
  <c r="R45" i="17"/>
  <c r="R22" i="17"/>
  <c r="S29" i="17"/>
  <c r="S28" i="17"/>
  <c r="R28" i="17"/>
  <c r="R40" i="17"/>
  <c r="R38" i="17"/>
  <c r="S38" i="17"/>
  <c r="S32" i="17"/>
  <c r="R32" i="17"/>
  <c r="R33" i="17"/>
  <c r="S33" i="17"/>
  <c r="S41" i="17"/>
  <c r="R41" i="17"/>
  <c r="S20" i="17"/>
  <c r="S42" i="17"/>
  <c r="R42" i="17"/>
  <c r="R12" i="17"/>
  <c r="S12" i="17"/>
  <c r="S43" i="17"/>
  <c r="R43" i="17"/>
  <c r="S24" i="17"/>
  <c r="R24" i="17"/>
  <c r="R25" i="17"/>
  <c r="S25" i="17"/>
  <c r="S39" i="17"/>
  <c r="R39" i="17"/>
  <c r="R14" i="17"/>
  <c r="S14" i="17"/>
  <c r="R13" i="17"/>
  <c r="S13" i="17"/>
  <c r="S27" i="17"/>
  <c r="B61" i="17"/>
  <c r="H56" i="17"/>
  <c r="R31" i="17"/>
  <c r="S31" i="17"/>
  <c r="S11" i="17"/>
  <c r="S19" i="17"/>
  <c r="R19" i="17"/>
  <c r="S16" i="17"/>
  <c r="R16" i="17"/>
  <c r="S44" i="17"/>
  <c r="R44" i="17"/>
  <c r="R17" i="17"/>
  <c r="R21" i="17"/>
  <c r="S21" i="17"/>
  <c r="S37" i="17"/>
  <c r="R18" i="17"/>
  <c r="S18" i="17"/>
  <c r="R23" i="17"/>
  <c r="S23" i="17"/>
  <c r="I56" i="17"/>
  <c r="J56" i="17"/>
  <c r="O56" i="17"/>
  <c r="P56" i="17"/>
  <c r="K56" i="17"/>
  <c r="L56" i="17"/>
  <c r="M56" i="17"/>
  <c r="N56" i="17"/>
  <c r="E48" i="17"/>
  <c r="D48" i="17"/>
  <c r="F47" i="17"/>
  <c r="G47" i="17"/>
  <c r="H47" i="17"/>
  <c r="B47" i="17"/>
  <c r="A47" i="17"/>
  <c r="S47" i="17"/>
  <c r="S46" i="17"/>
  <c r="R46" i="17"/>
  <c r="H46" i="17"/>
  <c r="E49" i="17"/>
  <c r="D49" i="17"/>
  <c r="B48" i="17"/>
  <c r="A48" i="17"/>
  <c r="R48" i="17"/>
  <c r="F48" i="17"/>
  <c r="G48" i="17"/>
  <c r="H48" i="17"/>
  <c r="I48" i="17"/>
  <c r="J48" i="17"/>
  <c r="T48" i="17"/>
  <c r="U48" i="17"/>
  <c r="AA48" i="17"/>
  <c r="R47" i="17"/>
  <c r="F49" i="17"/>
  <c r="G49" i="17"/>
  <c r="H49" i="17"/>
  <c r="I49" i="17"/>
  <c r="J49" i="17"/>
  <c r="T49" i="17"/>
  <c r="U49" i="17"/>
  <c r="AA49" i="17"/>
  <c r="E50" i="17"/>
  <c r="D50" i="17"/>
  <c r="B49" i="17"/>
  <c r="A49" i="17"/>
  <c r="I46" i="17"/>
  <c r="J46" i="17"/>
  <c r="T46" i="17"/>
  <c r="U46" i="17"/>
  <c r="AA46" i="17"/>
  <c r="I47" i="17"/>
  <c r="J47" i="17"/>
  <c r="T47" i="17"/>
  <c r="U47" i="17"/>
  <c r="AA47" i="17"/>
  <c r="K46" i="17"/>
  <c r="K47" i="17"/>
  <c r="S48" i="17"/>
  <c r="K49" i="17"/>
  <c r="L49" i="17"/>
  <c r="K48" i="17"/>
  <c r="L48" i="17"/>
  <c r="M48" i="17"/>
  <c r="N48" i="17"/>
  <c r="O48" i="17"/>
  <c r="P48" i="17"/>
  <c r="E51" i="17"/>
  <c r="D51" i="17"/>
  <c r="F50" i="17"/>
  <c r="G50" i="17"/>
  <c r="H50" i="17"/>
  <c r="I50" i="17"/>
  <c r="J50" i="17"/>
  <c r="T50" i="17"/>
  <c r="U50" i="17"/>
  <c r="AA50" i="17"/>
  <c r="S49" i="17"/>
  <c r="R49" i="17"/>
  <c r="B50" i="17"/>
  <c r="A50" i="17"/>
  <c r="R50" i="17"/>
  <c r="L46" i="17"/>
  <c r="L47" i="17"/>
  <c r="M47" i="17"/>
  <c r="N47" i="17"/>
  <c r="M49" i="17"/>
  <c r="N49" i="17"/>
  <c r="O49" i="17"/>
  <c r="P49" i="17"/>
  <c r="E52" i="17"/>
  <c r="D52" i="17"/>
  <c r="B51" i="17"/>
  <c r="A51" i="17"/>
  <c r="R51" i="17"/>
  <c r="F51" i="17"/>
  <c r="G51" i="17"/>
  <c r="S50" i="17"/>
  <c r="K50" i="17"/>
  <c r="L50" i="17"/>
  <c r="M50" i="17"/>
  <c r="N50" i="17"/>
  <c r="H51" i="17"/>
  <c r="I51" i="17"/>
  <c r="J51" i="17"/>
  <c r="T51" i="17"/>
  <c r="U51" i="17"/>
  <c r="AA51" i="17"/>
  <c r="O47" i="17"/>
  <c r="P47" i="17"/>
  <c r="M46" i="17"/>
  <c r="N46" i="17"/>
  <c r="O46" i="17"/>
  <c r="P46" i="17"/>
  <c r="B52" i="17"/>
  <c r="A52" i="17"/>
  <c r="S52" i="17"/>
  <c r="F52" i="17"/>
  <c r="G52" i="17"/>
  <c r="H52" i="17"/>
  <c r="I52" i="17"/>
  <c r="J52" i="17"/>
  <c r="T52" i="17"/>
  <c r="U52" i="17"/>
  <c r="AA52" i="17"/>
  <c r="S51" i="17"/>
  <c r="O50" i="17"/>
  <c r="P50" i="17"/>
  <c r="K51" i="17"/>
  <c r="L51" i="17"/>
  <c r="R52" i="17"/>
  <c r="K52" i="17"/>
  <c r="L52" i="17"/>
  <c r="M52" i="17"/>
  <c r="N52" i="17"/>
  <c r="M51" i="17"/>
  <c r="N51" i="17"/>
  <c r="O51" i="17"/>
  <c r="P51" i="17"/>
  <c r="O52" i="17"/>
  <c r="P52" i="17"/>
</calcChain>
</file>

<file path=xl/sharedStrings.xml><?xml version="1.0" encoding="utf-8"?>
<sst xmlns="http://schemas.openxmlformats.org/spreadsheetml/2006/main" count="544" uniqueCount="294">
  <si>
    <t xml:space="preserve">CenterPoint Energy Distribution Loss Factor for  </t>
  </si>
  <si>
    <t>General Information on Distribution Loss Factor:</t>
  </si>
  <si>
    <t xml:space="preserve">The Distribution Loss Factor is a percent that ERCOT will use to determine distribution losses for each Distribution Service Provider.   </t>
  </si>
  <si>
    <t>See ERCOT Protocols Section 13: Transmission and Distribution Losses, which was updated on September 1, 2016.  See following</t>
  </si>
  <si>
    <t>protocol link:   http://www.ercot.com/mktrules/nprotocols/current</t>
  </si>
  <si>
    <t xml:space="preserve">According to this protocol, ERCOT will calculate Distribution Loss Factors for each Settlement Interval of the Operating Day for </t>
  </si>
  <si>
    <t>settlement purposes.  Distribution Loss Factors will be calculated from the data provided by Distribution Service Providers using</t>
  </si>
  <si>
    <t>the following equation</t>
  </si>
  <si>
    <t xml:space="preserve">SILFi = F1 * (SIELi/AAL) + F2 + F3 / (SIELi / AAL) </t>
  </si>
  <si>
    <t>Where:</t>
  </si>
  <si>
    <r>
      <t xml:space="preserve">i </t>
    </r>
    <r>
      <rPr>
        <sz val="10"/>
        <rFont val="Arial"/>
      </rPr>
      <t xml:space="preserve"> = interval  (15 minutes)</t>
    </r>
  </si>
  <si>
    <r>
      <t xml:space="preserve">SILFi </t>
    </r>
    <r>
      <rPr>
        <sz val="10"/>
        <rFont val="Arial"/>
      </rPr>
      <t>= Settlement Interval Distribution Loss Factor</t>
    </r>
  </si>
  <si>
    <r>
      <t xml:space="preserve">SIELi </t>
    </r>
    <r>
      <rPr>
        <sz val="10"/>
        <rFont val="Arial"/>
      </rPr>
      <t>= Settlement Interval estimated ERCOT System Load</t>
    </r>
  </si>
  <si>
    <r>
      <t>AAL</t>
    </r>
    <r>
      <rPr>
        <sz val="10"/>
        <rFont val="Arial"/>
      </rPr>
      <t xml:space="preserve"> = Annual Interval Average ERCOT System Load (15 minute basis)</t>
    </r>
  </si>
  <si>
    <r>
      <t>F1, F2, F3</t>
    </r>
    <r>
      <rPr>
        <sz val="10"/>
        <rFont val="Arial"/>
      </rPr>
      <t xml:space="preserve"> = Coefficients derived from regression analysis of the TDSP loss study results</t>
    </r>
  </si>
  <si>
    <t>AAL = Annual Total System MWh / (Number of settlement intervals in the year)    Typically = 365 days * 24 hrs * 4 intervals</t>
  </si>
  <si>
    <t>AAL value for use in 2025 = 12,969 MWH</t>
  </si>
  <si>
    <t>Customer Coding for CenterPoint Energy:</t>
  </si>
  <si>
    <t>Distribution customers that take service at secondary voltage are coded "D"</t>
  </si>
  <si>
    <t>Distribution customers that take service at primary voltage are coded "E"</t>
  </si>
  <si>
    <t>CenterPoint Energy customers taking service at transmission level voltages have no distribution losses associated with their energy</t>
  </si>
  <si>
    <t>delivery.  Therefore, each transmission ESI-ID account has been coded with a "T", and their losses are determined by ERCOT rules for</t>
  </si>
  <si>
    <t>transmission customers.</t>
  </si>
  <si>
    <t>For "D" Secondary Customers</t>
  </si>
  <si>
    <t xml:space="preserve">F1 = </t>
  </si>
  <si>
    <t xml:space="preserve">F2 = </t>
  </si>
  <si>
    <t xml:space="preserve">F3 = </t>
  </si>
  <si>
    <t>AAL for ERCOT (15 mins) = 10,708</t>
  </si>
  <si>
    <t>For "E" Primary Customers</t>
  </si>
  <si>
    <t>Assumptions</t>
  </si>
  <si>
    <t>1. Assume AAL for CNP corresponds to AAL for ERCOT</t>
  </si>
  <si>
    <t>2. However, the peak for CNP is proportionately greater than the peak for ERCOT relative to AAL.</t>
  </si>
  <si>
    <t xml:space="preserve">    Ratio of Peak to AAL</t>
  </si>
  <si>
    <t>CNP</t>
  </si>
  <si>
    <t>ERCOT</t>
  </si>
  <si>
    <t>Ratio of Peak to AAL for CNP is not proportional to ERCOT</t>
  </si>
  <si>
    <t xml:space="preserve">      2022 for use in 2023</t>
  </si>
  <si>
    <t xml:space="preserve">      2023 for use in 2024</t>
  </si>
  <si>
    <t xml:space="preserve">      2024 for use in 2025</t>
  </si>
  <si>
    <t>15 mins</t>
  </si>
  <si>
    <t>1 hour</t>
  </si>
  <si>
    <t>CNP Peak</t>
  </si>
  <si>
    <t>CNP AAL</t>
  </si>
  <si>
    <t>ERCOT Peak</t>
  </si>
  <si>
    <t>ERCOT AAL</t>
  </si>
  <si>
    <t xml:space="preserve">CNP peak is proportionately higher than CNP AAL as compared to ERCOT peak vs ERCOT AAL, so % losses (and DLF) above AAL  are </t>
  </si>
  <si>
    <t>increased an amount that is consistent with this higher loading at peak, so that when ERCOT hits peak, % losses will correspond to CNP peak.</t>
  </si>
  <si>
    <t>Methodology upon which the calculation of loss factor was made:</t>
  </si>
  <si>
    <t xml:space="preserve">Over the years, CenterPoint Energy has developed system loss equations for each part of the system.  Equations for distribution </t>
  </si>
  <si>
    <t>substation transformer losses, distribution primary conductor losses, distribution transformer losses and secondary conductor losses</t>
  </si>
  <si>
    <t>were utilized to calculate the total losses on the CenterPoint Energy distribution system for various load levels.  See Tab 3 - Loss Equations.</t>
  </si>
  <si>
    <t xml:space="preserve">Losses = </t>
  </si>
  <si>
    <r>
      <t>A</t>
    </r>
    <r>
      <rPr>
        <b/>
        <i/>
        <sz val="10"/>
        <rFont val="Arial"/>
        <family val="2"/>
      </rPr>
      <t>X</t>
    </r>
    <r>
      <rPr>
        <b/>
        <i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+ B</t>
    </r>
  </si>
  <si>
    <t>A = Constant</t>
  </si>
  <si>
    <t>B = Constant</t>
  </si>
  <si>
    <r>
      <t>X</t>
    </r>
    <r>
      <rPr>
        <b/>
        <sz val="10"/>
        <rFont val="Arial"/>
        <family val="2"/>
      </rPr>
      <t xml:space="preserve"> = Input to System (MW)</t>
    </r>
  </si>
  <si>
    <t>The constants (A &amp; B) for each of the equations were updated in 2018 for use as follows:</t>
  </si>
  <si>
    <t>1. Substation Transformer Losses - The A B constants for substation transformers were updated for</t>
  </si>
  <si>
    <t>The current substation transformer database was used to determine the total "No-load" losses for all transformers on the system.</t>
  </si>
  <si>
    <t>This database contains test data for every substation transformer.</t>
  </si>
  <si>
    <t xml:space="preserve">The total no-load losses are   </t>
  </si>
  <si>
    <t>MW.</t>
  </si>
  <si>
    <t>Also, the database provided the total "Load" losses for the transformers on the system at rated trf load.</t>
  </si>
  <si>
    <t>This value is</t>
  </si>
  <si>
    <t>MW at</t>
  </si>
  <si>
    <t xml:space="preserve">MW load level. </t>
  </si>
  <si>
    <t xml:space="preserve">This results in a total of </t>
  </si>
  <si>
    <t xml:space="preserve">MW of substation transformer losses at approximately </t>
  </si>
  <si>
    <t>MVA at CNP (Sub Trf nameplate rating)</t>
  </si>
  <si>
    <t>The constants in the system loss equations were adjusted to match this result.  See Tab 3.</t>
  </si>
  <si>
    <t>2. Primary Conductor Losses      (No change in the A B constants for primary conductor)</t>
  </si>
  <si>
    <t>The primary conductor losses for 2007 were considered to be similar to the losses in 2006, but the constant for the system loss</t>
  </si>
  <si>
    <t>equation was increased 2.5% due to the increased loading on our circuits which is a result of our revised design criteria.</t>
  </si>
  <si>
    <t>The design criteria allows higher loadings due to an increase in switching operations under contingency conditions from</t>
  </si>
  <si>
    <t>2 pairs of switching operations to 4 pairs of switching operations.</t>
  </si>
  <si>
    <t xml:space="preserve">For </t>
  </si>
  <si>
    <t xml:space="preserve"> there is no further change in the system loss equations.</t>
  </si>
  <si>
    <t xml:space="preserve">3. Distribution Transformer Losses -  The A B constants for distribution transformers were updated for </t>
  </si>
  <si>
    <t>An inventory of the distribution transformers was downloaded from the GIS system.  For every size transformer</t>
  </si>
  <si>
    <t>the "No-load" losses and "Load" losses were determined by various test reports.  This information was entered</t>
  </si>
  <si>
    <t>for each size of transformer to determine the total "No-load" losses and the total "Load" losses for the distribution transformers.</t>
  </si>
  <si>
    <t>Additionally, a TLM (Transformer Load Maintenance) Program was used to calculate no-load and load losses.</t>
  </si>
  <si>
    <t xml:space="preserve">Since the no-load losses used in the TLM program were based on older/higher values from 1985 and the GIS spreadsheet </t>
  </si>
  <si>
    <t>used more current test values from 2000-2005, the results of the two programs were averaged together to get</t>
  </si>
  <si>
    <t xml:space="preserve">a balanced result for "no-load" losses for a distribution system that has both old and new transformers.  </t>
  </si>
  <si>
    <t>The "load losses" from both methods were very close, so the load losses from GIS were used.</t>
  </si>
  <si>
    <t>See Tab 3 for the updated A B constants for distribution transformers.</t>
  </si>
  <si>
    <t xml:space="preserve">4. Secondary Conductor Losses  - No change in the A B constants for secondary conductor for </t>
  </si>
  <si>
    <t xml:space="preserve">The constant in the system loss equation for secondary losses is same as used in previous years.     </t>
  </si>
  <si>
    <t>5. AAL for ERCOT</t>
  </si>
  <si>
    <t>The AAL for ERCOT was updated based on information from ERCOT.  The new value is</t>
  </si>
  <si>
    <t>MWH for 15 minutes.</t>
  </si>
  <si>
    <t>DLF Coefficients (F1, F2 and F3)</t>
  </si>
  <si>
    <t xml:space="preserve">For both primary and secondary customers, the F1, F2 and F3 coefficients were selected to provide a curve fit with the loss equations that were </t>
  </si>
  <si>
    <t xml:space="preserve">developed above.  F1 impacts the right side of the curve, F2 impacts the middle/entire curve, and F3 impacts the left side of the curve.  These </t>
  </si>
  <si>
    <t xml:space="preserve">coefficents were adjusted to get a curve fit in the most critical areas.  See spreadsheet and graphs in Tab 2 - Loss Analysis. </t>
  </si>
  <si>
    <t>The F1, F2, and F3 coefficients for D secondary customers and E primary metered customers are shown above.</t>
  </si>
  <si>
    <t>Overall results:</t>
  </si>
  <si>
    <t>2024 for use 2025</t>
  </si>
  <si>
    <t>DLF at AAL</t>
  </si>
  <si>
    <t xml:space="preserve">DLF at ERCOT Peak  </t>
  </si>
  <si>
    <t>Questions:</t>
  </si>
  <si>
    <t>If you have any questions, please call Robert Pitcel at 713-207-7621, Brian Clowe 713-207-6287, or Michael Blum 713-207-6598.</t>
  </si>
  <si>
    <t>or email Robert Pitcel at robert.pitcel@centerpointenergy.com, Brian Clowe at brian.clowe@centerpointenergy.com, or Michael Blum at michael.blum@centerpointenergy.com.</t>
  </si>
  <si>
    <t>Loss Comparison With Different A/B Constants</t>
  </si>
  <si>
    <t>Loss Analysis 02.xls</t>
  </si>
  <si>
    <t xml:space="preserve">               Substation Transformers</t>
  </si>
  <si>
    <t xml:space="preserve">                  Primary Conductor</t>
  </si>
  <si>
    <t xml:space="preserve">               Distribution Transformers</t>
  </si>
  <si>
    <t xml:space="preserve">               Secondary Conductor</t>
  </si>
  <si>
    <t>B Constant</t>
  </si>
  <si>
    <t>A Constant</t>
  </si>
  <si>
    <t>2001 Modified</t>
  </si>
  <si>
    <t>Load</t>
  </si>
  <si>
    <t xml:space="preserve">             Sub Trf Losses</t>
  </si>
  <si>
    <t xml:space="preserve">       Primary Cond Losses</t>
  </si>
  <si>
    <t xml:space="preserve">             Dist Trf Losses</t>
  </si>
  <si>
    <t xml:space="preserve">         Sec Cond Losses</t>
  </si>
  <si>
    <t>Total Losses</t>
  </si>
  <si>
    <t>(MW)</t>
  </si>
  <si>
    <t>(%)</t>
  </si>
  <si>
    <t>2001 M</t>
  </si>
  <si>
    <t>Note:  All % calculations are based on the total load which is shown in column 2.</t>
  </si>
  <si>
    <t>HL&amp;P Distribution Loss Analysis</t>
  </si>
  <si>
    <t xml:space="preserve">K =  </t>
  </si>
  <si>
    <t>PELCAR</t>
  </si>
  <si>
    <t>Difference</t>
  </si>
  <si>
    <t>Tangent ?</t>
  </si>
  <si>
    <t>K Formula</t>
  </si>
  <si>
    <t>Losses Based</t>
  </si>
  <si>
    <t>Input to Sub Trfs</t>
  </si>
  <si>
    <t>Sub Trf Losses</t>
  </si>
  <si>
    <t>Input to Dist Sys</t>
  </si>
  <si>
    <t>Pri Cond Losses</t>
  </si>
  <si>
    <t>Input to Dist Trfs</t>
  </si>
  <si>
    <t>Dist Trf Losses</t>
  </si>
  <si>
    <t>Input to Secondary</t>
  </si>
  <si>
    <t>Secondary Losses</t>
  </si>
  <si>
    <t>Losses - Tangent</t>
  </si>
  <si>
    <t>K = 0.0</t>
  </si>
  <si>
    <t>Loss - (K=0.0)</t>
  </si>
  <si>
    <t>K = 0.8</t>
  </si>
  <si>
    <t>Loss - (K=0.8)</t>
  </si>
  <si>
    <t>K = 1.0</t>
  </si>
  <si>
    <t>On K = 0.8</t>
  </si>
  <si>
    <t>Highlighted Area Represents 96% Range</t>
  </si>
  <si>
    <t>% Losses at Peak =</t>
  </si>
  <si>
    <t>CenterPoint Energy Distribution Loss Factor</t>
  </si>
  <si>
    <t>No Scaling</t>
  </si>
  <si>
    <t>With Scaling</t>
  </si>
  <si>
    <t xml:space="preserve">     Using F1, F2 &amp; F3 Coefficients</t>
  </si>
  <si>
    <t>Primary</t>
  </si>
  <si>
    <t>Total</t>
  </si>
  <si>
    <t>Secondary</t>
  </si>
  <si>
    <t xml:space="preserve">  Adjustment for % Losses</t>
  </si>
  <si>
    <t>Load            (15 min)</t>
  </si>
  <si>
    <t>Load            (1 hr)</t>
  </si>
  <si>
    <t>Input To Sub Trfs</t>
  </si>
  <si>
    <t>Sub Trf  Losses</t>
  </si>
  <si>
    <t>Conductor  Losses</t>
  </si>
  <si>
    <t>Primary Losses</t>
  </si>
  <si>
    <t>Primary       Loss %</t>
  </si>
  <si>
    <t>Input To Secondary</t>
  </si>
  <si>
    <t>Conductor Losses</t>
  </si>
  <si>
    <t>DLF</t>
  </si>
  <si>
    <t>Sec</t>
  </si>
  <si>
    <t>Pri</t>
  </si>
  <si>
    <t>Primary MW Losses</t>
  </si>
  <si>
    <t>Sec MW Losses</t>
  </si>
  <si>
    <t>SIEL</t>
  </si>
  <si>
    <t>15 min</t>
  </si>
  <si>
    <t>AAL</t>
  </si>
  <si>
    <t>At ERCOT AAL</t>
  </si>
  <si>
    <t>Peak</t>
  </si>
  <si>
    <t>At ERCOT Peak</t>
  </si>
  <si>
    <t>AAL for CNP (</t>
  </si>
  <si>
    <t xml:space="preserve">MW) is measured at the Dist Fdr Bkr (PELCAR, Column G) so this value is increased </t>
  </si>
  <si>
    <t>MW (Cell F50 ) for the high side of the sub trfs</t>
  </si>
  <si>
    <t>Peak for CNP (</t>
  </si>
  <si>
    <t xml:space="preserve"> MW) is measured at the Dist Fdr Bkr (PELCAR, Column G) so this value is increased 60 MW (Cell F51) for the high side of the sub trfs</t>
  </si>
  <si>
    <t>Secondary (Adjusted)</t>
  </si>
  <si>
    <t>Primary (Adjusted)</t>
  </si>
  <si>
    <t>CNP peak is proportionately higher than CNP AAL as compared to ERCOT peak vs ERCOT AAL, so % Losses above AAL are scaled proportionately.</t>
  </si>
  <si>
    <t>(When ERCOT is at peak, CNP is 4.5 intervals below peak, so % losses at ERCOT peak are scaled up to match % losses at CNP peak.)</t>
  </si>
  <si>
    <t xml:space="preserve">ERCOT Peak </t>
  </si>
  <si>
    <t>2.28ish</t>
  </si>
  <si>
    <t xml:space="preserve">CNP Peak </t>
  </si>
  <si>
    <t xml:space="preserve">  Scaling for % Losses</t>
  </si>
  <si>
    <t>For Secondary Distribution Customers "D"</t>
  </si>
  <si>
    <t>Substation Transformers</t>
  </si>
  <si>
    <t xml:space="preserve">   Primary Conductor</t>
  </si>
  <si>
    <t>Distribution Transformers</t>
  </si>
  <si>
    <t xml:space="preserve">   Secondary Conductor</t>
  </si>
  <si>
    <t>For Primary Distribution Customers "E"</t>
  </si>
  <si>
    <t>Primary Constants</t>
  </si>
  <si>
    <t>AAL for ERCOT (15 mins) = 10,740</t>
  </si>
  <si>
    <t xml:space="preserve">   DLF = F1 * (SIEL/AAL) + F2 + F3 / (SIEL/AAL)</t>
  </si>
  <si>
    <t>F1 =</t>
  </si>
  <si>
    <t>right</t>
  </si>
  <si>
    <t>F2 =</t>
  </si>
  <si>
    <t>middle</t>
  </si>
  <si>
    <t>F3 =</t>
  </si>
  <si>
    <t>left</t>
  </si>
  <si>
    <t>(See graphs below)</t>
  </si>
  <si>
    <t>Secondary Constants</t>
  </si>
  <si>
    <t xml:space="preserve">System Loss Equations For CenterPoint Energy </t>
  </si>
  <si>
    <t xml:space="preserve"> </t>
  </si>
  <si>
    <t>Formulas - Don’t touch</t>
  </si>
  <si>
    <t>Input Categories</t>
  </si>
  <si>
    <t>Calculations/Formulas</t>
  </si>
  <si>
    <t>=</t>
  </si>
  <si>
    <t>A * (TRF name plate*TRF name plate) + (No load losses+1%)</t>
  </si>
  <si>
    <t xml:space="preserve">A = </t>
  </si>
  <si>
    <t xml:space="preserve">B = </t>
  </si>
  <si>
    <t>Variables</t>
  </si>
  <si>
    <t xml:space="preserve">for use in </t>
  </si>
  <si>
    <t>Total No Load Losses for Substation Transformers +1% [MW]:</t>
  </si>
  <si>
    <t>Total Load Losses at Trf base name plate rating +1% [MW]:</t>
  </si>
  <si>
    <t>Total Losses [MW]:</t>
  </si>
  <si>
    <t xml:space="preserve"> Trf base name plate rating [MVA]:</t>
  </si>
  <si>
    <t>A * (Distribution Input*Distribution Input) + No load losses</t>
  </si>
  <si>
    <t xml:space="preserve"> Total No-Load Loss Average For Distribution Transformer[MW]:</t>
  </si>
  <si>
    <t>Total Load Losses at input to Distribution Transformers [MW]:</t>
  </si>
  <si>
    <t>Distribution Input [MW]:</t>
  </si>
  <si>
    <t>Conductors</t>
  </si>
  <si>
    <t xml:space="preserve">Primary Conductor </t>
  </si>
  <si>
    <t>Secondary Conductor</t>
  </si>
  <si>
    <t>Year</t>
  </si>
  <si>
    <t>AAL Value</t>
  </si>
  <si>
    <t>2024 Values ----&gt;</t>
  </si>
  <si>
    <t xml:space="preserve">&lt;----2024 Values </t>
  </si>
  <si>
    <t>12,450 MWH</t>
  </si>
  <si>
    <t>2023 Values ----&gt;</t>
  </si>
  <si>
    <t xml:space="preserve">&lt;----2023 Values </t>
  </si>
  <si>
    <t>12,069 MWH</t>
  </si>
  <si>
    <t>2022 Values ----&gt;</t>
  </si>
  <si>
    <t xml:space="preserve">&lt;----2022 Values </t>
  </si>
  <si>
    <t>11,048 MWH</t>
  </si>
  <si>
    <t>2021 Values ----&gt;</t>
  </si>
  <si>
    <t xml:space="preserve">&lt;----2021 Values </t>
  </si>
  <si>
    <t>10,968 MWH</t>
  </si>
  <si>
    <t>2020 Values ----&gt;</t>
  </si>
  <si>
    <t xml:space="preserve">&lt;----2020 Values </t>
  </si>
  <si>
    <t>10,740 MWH</t>
  </si>
  <si>
    <t>2019 Values ----&gt;</t>
  </si>
  <si>
    <t xml:space="preserve">&lt;----2019 Values </t>
  </si>
  <si>
    <t>10,708 MWH</t>
  </si>
  <si>
    <t>2018 Values ----&gt;</t>
  </si>
  <si>
    <t xml:space="preserve">&lt;----2018 Values </t>
  </si>
  <si>
    <t>10,190 MWH</t>
  </si>
  <si>
    <t>2017 Values ----&gt;</t>
  </si>
  <si>
    <t xml:space="preserve"> &lt;--- 2017 Values</t>
  </si>
  <si>
    <t>9,898 MWH</t>
  </si>
  <si>
    <t>2016 Values ----&gt;</t>
  </si>
  <si>
    <t xml:space="preserve"> &lt;--- 2016 Values</t>
  </si>
  <si>
    <t>9,940 MWH</t>
  </si>
  <si>
    <t>2015 Values ----&gt;</t>
  </si>
  <si>
    <t xml:space="preserve"> &lt;--- 2015 Values</t>
  </si>
  <si>
    <t>9,741 MWH</t>
  </si>
  <si>
    <t>2014 Values ----&gt;</t>
  </si>
  <si>
    <t xml:space="preserve"> &lt;--- 2014 Values</t>
  </si>
  <si>
    <t>9,290 MWH</t>
  </si>
  <si>
    <t>2013 Values ----&gt;</t>
  </si>
  <si>
    <t xml:space="preserve"> &lt;--- 2013 Values</t>
  </si>
  <si>
    <t>9,304 MWH</t>
  </si>
  <si>
    <t>2012 Values ----&gt;</t>
  </si>
  <si>
    <t xml:space="preserve"> &lt;--- 2012 Values</t>
  </si>
  <si>
    <t>9,463 MWH</t>
  </si>
  <si>
    <t>2009 Values ----&gt;</t>
  </si>
  <si>
    <t xml:space="preserve"> &lt;--- 2009 Values</t>
  </si>
  <si>
    <t>9,034 MWH</t>
  </si>
  <si>
    <t>2008 Values ----&gt;</t>
  </si>
  <si>
    <t xml:space="preserve"> &lt;--- 2008 Values</t>
  </si>
  <si>
    <t>2007 Values ----&gt;</t>
  </si>
  <si>
    <t xml:space="preserve"> &lt;--- 2007 Values</t>
  </si>
  <si>
    <t>3.4176 E-07</t>
  </si>
  <si>
    <t>1.0500 E-06</t>
  </si>
  <si>
    <t>&lt;--- 1995</t>
  </si>
  <si>
    <t>5.8780 E-07</t>
  </si>
  <si>
    <t>&lt;--- 2001</t>
  </si>
  <si>
    <t xml:space="preserve">&lt;--- 2004/2006 </t>
  </si>
  <si>
    <t>2.866% increase  in Sub Trf nameplate MVA from 2001 to 2004</t>
  </si>
  <si>
    <t>15.9% 1ncrease in distribution trf nameplate KVA from 2001 to 2004</t>
  </si>
  <si>
    <t>2007 Start Values ----&gt;</t>
  </si>
  <si>
    <t>&lt;---2007 Start Value</t>
  </si>
  <si>
    <t>New values as per updated</t>
  </si>
  <si>
    <t>Add 2.5 % to 2006 values due</t>
  </si>
  <si>
    <t>2007 Adjustments ----&gt;</t>
  </si>
  <si>
    <t>substation trf review.</t>
  </si>
  <si>
    <t>to increased loading on circuits</t>
  </si>
  <si>
    <t>distribution trf review.</t>
  </si>
  <si>
    <t>Decrease from 2006 values.</t>
  </si>
  <si>
    <t>as per revised Design Criteria</t>
  </si>
  <si>
    <t>No change to 2006 values.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</si>
</sst>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00000"/>
    <numFmt numFmtId="165" formatCode="0.0"/>
    <numFmt numFmtId="166" formatCode="0.000E+00"/>
    <numFmt numFmtId="167" formatCode="0.000"/>
    <numFmt numFmtId="168" formatCode="0.0000E+00"/>
    <numFmt numFmtId="169" formatCode="0.000%"/>
    <numFmt numFmtId="170" formatCode="#,##0.000"/>
    <numFmt numFmtId="171" formatCode="0.0000%"/>
    <numFmt numFmtId="172" formatCode="#,##0.0"/>
    <numFmt numFmtId="173" formatCode="0.00000"/>
    <numFmt numFmtId="174" formatCode="0.00000E+00"/>
    <numFmt numFmtId="175" formatCode="[$-409]mmmm\ d\,\ yyyy;@"/>
    <numFmt numFmtId="176" formatCode="0.00;[Red]0.00"/>
  </numFmts>
  <fonts count="33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i/>
      <vertAlign val="superscript"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i/>
      <sz val="16"/>
      <name val="Arial"/>
      <family val="2"/>
    </font>
    <font>
      <b/>
      <i/>
      <u/>
      <sz val="16"/>
      <name val="Arial"/>
      <family val="2"/>
    </font>
    <font>
      <u/>
      <sz val="11"/>
      <name val="Arial"/>
      <family val="2"/>
    </font>
    <font>
      <b/>
      <u/>
      <sz val="12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4"/>
      <color rgb="FFFF0000"/>
      <name val="Arial"/>
      <family val="2"/>
    </font>
    <font>
      <b/>
      <u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A5A5A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23" fillId="3" borderId="41" applyNumberFormat="0" applyAlignment="0" applyProtection="0"/>
    <xf numFmtId="9" fontId="1" fillId="0" borderId="0" applyFont="0" applyFill="0" applyBorder="0" applyAlignment="0" applyProtection="0"/>
  </cellStyleXfs>
  <cellXfs count="47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4" fillId="0" borderId="0" xfId="0" applyFont="1"/>
    <xf numFmtId="10" fontId="0" fillId="0" borderId="0" xfId="0" applyNumberFormat="1" applyAlignment="1">
      <alignment horizontal="center"/>
    </xf>
    <xf numFmtId="9" fontId="0" fillId="0" borderId="0" xfId="2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quotePrefix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6" fontId="0" fillId="0" borderId="5" xfId="0" applyNumberForma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7" xfId="0" applyNumberFormat="1" applyBorder="1" applyAlignment="1">
      <alignment horizontal="left"/>
    </xf>
    <xf numFmtId="168" fontId="0" fillId="0" borderId="5" xfId="0" applyNumberFormat="1" applyBorder="1" applyAlignment="1">
      <alignment horizontal="center"/>
    </xf>
    <xf numFmtId="168" fontId="2" fillId="0" borderId="4" xfId="0" applyNumberFormat="1" applyFont="1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7" fillId="0" borderId="0" xfId="0" applyFont="1" applyAlignment="1">
      <alignment horizontal="left"/>
    </xf>
    <xf numFmtId="168" fontId="0" fillId="0" borderId="1" xfId="0" applyNumberFormat="1" applyBorder="1" applyAlignment="1">
      <alignment horizontal="center"/>
    </xf>
    <xf numFmtId="0" fontId="6" fillId="0" borderId="0" xfId="0" applyFont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9" fontId="0" fillId="0" borderId="6" xfId="0" applyNumberForma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6" xfId="0" applyFont="1" applyBorder="1"/>
    <xf numFmtId="0" fontId="0" fillId="0" borderId="5" xfId="0" applyBorder="1"/>
    <xf numFmtId="0" fontId="0" fillId="0" borderId="13" xfId="0" applyBorder="1" applyAlignment="1">
      <alignment horizontal="center"/>
    </xf>
    <xf numFmtId="0" fontId="0" fillId="0" borderId="6" xfId="0" applyBorder="1"/>
    <xf numFmtId="168" fontId="0" fillId="0" borderId="4" xfId="0" applyNumberForma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168" fontId="2" fillId="0" borderId="10" xfId="0" applyNumberFormat="1" applyFont="1" applyBorder="1" applyAlignment="1">
      <alignment horizontal="center"/>
    </xf>
    <xf numFmtId="168" fontId="2" fillId="0" borderId="12" xfId="0" applyNumberFormat="1" applyFont="1" applyBorder="1" applyAlignment="1">
      <alignment horizontal="center"/>
    </xf>
    <xf numFmtId="10" fontId="3" fillId="2" borderId="0" xfId="0" applyNumberFormat="1" applyFont="1" applyFill="1" applyAlignment="1">
      <alignment horizontal="center"/>
    </xf>
    <xf numFmtId="10" fontId="0" fillId="2" borderId="0" xfId="0" applyNumberForma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10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2" fontId="2" fillId="0" borderId="0" xfId="0" applyNumberFormat="1" applyFont="1"/>
    <xf numFmtId="0" fontId="15" fillId="0" borderId="0" xfId="0" applyFont="1"/>
    <xf numFmtId="4" fontId="0" fillId="0" borderId="0" xfId="0" applyNumberFormat="1"/>
    <xf numFmtId="0" fontId="4" fillId="0" borderId="0" xfId="0" applyFont="1" applyAlignment="1">
      <alignment horizontal="center"/>
    </xf>
    <xf numFmtId="0" fontId="0" fillId="0" borderId="12" xfId="0" applyBorder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8" fontId="3" fillId="0" borderId="0" xfId="0" applyNumberFormat="1" applyFont="1" applyAlignment="1">
      <alignment horizontal="center"/>
    </xf>
    <xf numFmtId="168" fontId="3" fillId="0" borderId="5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0" fillId="0" borderId="4" xfId="0" applyBorder="1"/>
    <xf numFmtId="0" fontId="0" fillId="0" borderId="7" xfId="0" applyBorder="1"/>
    <xf numFmtId="0" fontId="2" fillId="0" borderId="2" xfId="0" applyFont="1" applyBorder="1" applyAlignment="1">
      <alignment horizontal="center" wrapText="1"/>
    </xf>
    <xf numFmtId="164" fontId="12" fillId="0" borderId="0" xfId="0" applyNumberFormat="1" applyFont="1" applyAlignment="1">
      <alignment horizontal="center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0" xfId="0" applyBorder="1"/>
    <xf numFmtId="0" fontId="0" fillId="0" borderId="12" xfId="0" applyBorder="1" applyAlignment="1">
      <alignment horizontal="center"/>
    </xf>
    <xf numFmtId="0" fontId="7" fillId="0" borderId="0" xfId="0" applyFont="1"/>
    <xf numFmtId="0" fontId="16" fillId="0" borderId="0" xfId="0" applyFont="1"/>
    <xf numFmtId="16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wrapText="1"/>
    </xf>
    <xf numFmtId="169" fontId="3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center"/>
    </xf>
    <xf numFmtId="0" fontId="5" fillId="0" borderId="0" xfId="0" applyFont="1"/>
    <xf numFmtId="167" fontId="3" fillId="0" borderId="10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8" fontId="6" fillId="0" borderId="12" xfId="0" applyNumberFormat="1" applyFont="1" applyBorder="1" applyAlignment="1">
      <alignment horizontal="center"/>
    </xf>
    <xf numFmtId="167" fontId="3" fillId="0" borderId="8" xfId="0" applyNumberFormat="1" applyFont="1" applyBorder="1" applyAlignment="1">
      <alignment horizontal="center"/>
    </xf>
    <xf numFmtId="168" fontId="6" fillId="0" borderId="9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2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3" fillId="0" borderId="10" xfId="0" applyFont="1" applyBorder="1" applyAlignment="1">
      <alignment horizontal="center"/>
    </xf>
    <xf numFmtId="168" fontId="3" fillId="0" borderId="11" xfId="0" applyNumberFormat="1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172" fontId="3" fillId="0" borderId="0" xfId="0" applyNumberFormat="1" applyFont="1" applyAlignment="1">
      <alignment horizontal="center"/>
    </xf>
    <xf numFmtId="168" fontId="3" fillId="0" borderId="12" xfId="0" applyNumberFormat="1" applyFont="1" applyBorder="1" applyAlignment="1">
      <alignment horizontal="center"/>
    </xf>
    <xf numFmtId="11" fontId="3" fillId="0" borderId="11" xfId="0" applyNumberFormat="1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168" fontId="25" fillId="0" borderId="12" xfId="0" applyNumberFormat="1" applyFont="1" applyBorder="1" applyAlignment="1">
      <alignment horizontal="center"/>
    </xf>
    <xf numFmtId="11" fontId="25" fillId="0" borderId="11" xfId="0" applyNumberFormat="1" applyFont="1" applyBorder="1" applyAlignment="1">
      <alignment horizontal="center"/>
    </xf>
    <xf numFmtId="17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71" fontId="2" fillId="0" borderId="0" xfId="0" applyNumberFormat="1" applyFont="1" applyAlignment="1">
      <alignment horizontal="center"/>
    </xf>
    <xf numFmtId="0" fontId="24" fillId="0" borderId="9" xfId="0" applyFont="1" applyBorder="1"/>
    <xf numFmtId="169" fontId="2" fillId="0" borderId="0" xfId="0" applyNumberFormat="1" applyFont="1" applyAlignment="1">
      <alignment horizontal="center"/>
    </xf>
    <xf numFmtId="0" fontId="3" fillId="0" borderId="10" xfId="0" applyFont="1" applyBorder="1"/>
    <xf numFmtId="0" fontId="11" fillId="0" borderId="7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11" xfId="0" applyBorder="1"/>
    <xf numFmtId="0" fontId="11" fillId="0" borderId="0" xfId="0" applyFont="1"/>
    <xf numFmtId="0" fontId="26" fillId="0" borderId="1" xfId="0" applyFont="1" applyBorder="1" applyAlignment="1">
      <alignment horizontal="center"/>
    </xf>
    <xf numFmtId="0" fontId="26" fillId="0" borderId="2" xfId="0" applyFont="1" applyBorder="1" applyAlignment="1">
      <alignment horizontal="center" wrapText="1"/>
    </xf>
    <xf numFmtId="0" fontId="25" fillId="0" borderId="0" xfId="0" applyFont="1" applyAlignment="1">
      <alignment horizontal="center"/>
    </xf>
    <xf numFmtId="2" fontId="25" fillId="0" borderId="0" xfId="0" applyNumberFormat="1" applyFont="1" applyAlignment="1">
      <alignment horizontal="center"/>
    </xf>
    <xf numFmtId="10" fontId="25" fillId="0" borderId="0" xfId="0" applyNumberFormat="1" applyFont="1" applyAlignment="1">
      <alignment horizontal="center"/>
    </xf>
    <xf numFmtId="169" fontId="26" fillId="0" borderId="0" xfId="0" applyNumberFormat="1" applyFont="1" applyAlignment="1">
      <alignment horizontal="center"/>
    </xf>
    <xf numFmtId="0" fontId="27" fillId="0" borderId="0" xfId="0" applyFont="1"/>
    <xf numFmtId="0" fontId="25" fillId="0" borderId="0" xfId="0" applyFont="1"/>
    <xf numFmtId="2" fontId="27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/>
    </xf>
    <xf numFmtId="167" fontId="3" fillId="0" borderId="4" xfId="0" applyNumberFormat="1" applyFont="1" applyBorder="1" applyAlignment="1">
      <alignment horizontal="left"/>
    </xf>
    <xf numFmtId="0" fontId="24" fillId="0" borderId="0" xfId="0" applyFont="1"/>
    <xf numFmtId="167" fontId="28" fillId="0" borderId="0" xfId="0" applyNumberFormat="1" applyFont="1"/>
    <xf numFmtId="167" fontId="29" fillId="0" borderId="0" xfId="0" applyNumberFormat="1" applyFont="1"/>
    <xf numFmtId="1" fontId="28" fillId="0" borderId="0" xfId="0" applyNumberFormat="1" applyFont="1"/>
    <xf numFmtId="11" fontId="3" fillId="0" borderId="0" xfId="0" applyNumberFormat="1" applyFont="1"/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0" fontId="31" fillId="0" borderId="0" xfId="0" applyFont="1"/>
    <xf numFmtId="174" fontId="0" fillId="0" borderId="0" xfId="0" applyNumberFormat="1"/>
    <xf numFmtId="167" fontId="24" fillId="0" borderId="0" xfId="0" applyNumberFormat="1" applyFont="1" applyAlignment="1">
      <alignment horizontal="center"/>
    </xf>
    <xf numFmtId="3" fontId="28" fillId="0" borderId="0" xfId="0" applyNumberFormat="1" applyFont="1"/>
    <xf numFmtId="0" fontId="23" fillId="0" borderId="0" xfId="1" applyFill="1" applyBorder="1"/>
    <xf numFmtId="0" fontId="2" fillId="4" borderId="15" xfId="0" applyFont="1" applyFill="1" applyBorder="1"/>
    <xf numFmtId="0" fontId="0" fillId="4" borderId="16" xfId="0" applyFill="1" applyBorder="1"/>
    <xf numFmtId="0" fontId="0" fillId="4" borderId="17" xfId="0" applyFill="1" applyBorder="1"/>
    <xf numFmtId="0" fontId="2" fillId="4" borderId="18" xfId="0" applyFont="1" applyFill="1" applyBorder="1"/>
    <xf numFmtId="0" fontId="2" fillId="4" borderId="0" xfId="0" applyFont="1" applyFill="1" applyAlignment="1">
      <alignment horizontal="right"/>
    </xf>
    <xf numFmtId="0" fontId="2" fillId="4" borderId="19" xfId="0" applyFont="1" applyFill="1" applyBorder="1"/>
    <xf numFmtId="0" fontId="2" fillId="4" borderId="20" xfId="0" applyFont="1" applyFill="1" applyBorder="1" applyAlignment="1">
      <alignment horizontal="right"/>
    </xf>
    <xf numFmtId="0" fontId="0" fillId="4" borderId="0" xfId="0" applyFill="1"/>
    <xf numFmtId="0" fontId="0" fillId="4" borderId="21" xfId="0" applyFill="1" applyBorder="1"/>
    <xf numFmtId="0" fontId="0" fillId="4" borderId="19" xfId="0" applyFill="1" applyBorder="1"/>
    <xf numFmtId="0" fontId="0" fillId="4" borderId="22" xfId="0" applyFill="1" applyBorder="1"/>
    <xf numFmtId="0" fontId="0" fillId="4" borderId="18" xfId="0" applyFill="1" applyBorder="1"/>
    <xf numFmtId="174" fontId="26" fillId="4" borderId="0" xfId="0" applyNumberFormat="1" applyFont="1" applyFill="1"/>
    <xf numFmtId="2" fontId="26" fillId="4" borderId="20" xfId="0" applyNumberFormat="1" applyFont="1" applyFill="1" applyBorder="1"/>
    <xf numFmtId="176" fontId="24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3" fontId="24" fillId="0" borderId="0" xfId="0" applyNumberFormat="1" applyFont="1" applyAlignment="1">
      <alignment horizontal="center"/>
    </xf>
    <xf numFmtId="0" fontId="2" fillId="4" borderId="16" xfId="0" applyFont="1" applyFill="1" applyBorder="1" applyAlignment="1">
      <alignment horizontal="center"/>
    </xf>
    <xf numFmtId="3" fontId="28" fillId="0" borderId="0" xfId="0" applyNumberFormat="1" applyFont="1" applyAlignment="1">
      <alignment horizontal="center"/>
    </xf>
    <xf numFmtId="0" fontId="24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0" fillId="4" borderId="20" xfId="0" applyFill="1" applyBorder="1"/>
    <xf numFmtId="0" fontId="2" fillId="4" borderId="2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167" fontId="26" fillId="4" borderId="15" xfId="0" applyNumberFormat="1" applyFont="1" applyFill="1" applyBorder="1"/>
    <xf numFmtId="0" fontId="3" fillId="4" borderId="16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 vertical="center"/>
    </xf>
    <xf numFmtId="174" fontId="2" fillId="4" borderId="0" xfId="0" applyNumberFormat="1" applyFont="1" applyFill="1"/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2" fontId="2" fillId="4" borderId="20" xfId="0" applyNumberFormat="1" applyFont="1" applyFill="1" applyBorder="1"/>
    <xf numFmtId="0" fontId="3" fillId="4" borderId="20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/>
    </xf>
    <xf numFmtId="3" fontId="24" fillId="0" borderId="0" xfId="0" applyNumberFormat="1" applyFont="1"/>
    <xf numFmtId="0" fontId="2" fillId="0" borderId="3" xfId="0" applyFont="1" applyBorder="1" applyAlignment="1">
      <alignment horizontal="center" wrapText="1"/>
    </xf>
    <xf numFmtId="169" fontId="0" fillId="0" borderId="0" xfId="0" applyNumberFormat="1"/>
    <xf numFmtId="169" fontId="2" fillId="0" borderId="2" xfId="0" applyNumberFormat="1" applyFont="1" applyBorder="1" applyAlignment="1">
      <alignment horizontal="center" wrapText="1"/>
    </xf>
    <xf numFmtId="169" fontId="3" fillId="0" borderId="3" xfId="0" applyNumberFormat="1" applyFont="1" applyBorder="1" applyAlignment="1">
      <alignment horizontal="center"/>
    </xf>
    <xf numFmtId="169" fontId="0" fillId="0" borderId="0" xfId="0" applyNumberFormat="1" applyAlignment="1">
      <alignment horizontal="right"/>
    </xf>
    <xf numFmtId="0" fontId="2" fillId="0" borderId="8" xfId="0" applyFont="1" applyBorder="1"/>
    <xf numFmtId="0" fontId="0" fillId="5" borderId="0" xfId="0" applyFill="1"/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center"/>
    </xf>
    <xf numFmtId="0" fontId="25" fillId="5" borderId="0" xfId="0" applyFont="1" applyFill="1" applyAlignment="1">
      <alignment horizontal="center"/>
    </xf>
    <xf numFmtId="169" fontId="0" fillId="5" borderId="0" xfId="0" applyNumberForma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25" fillId="5" borderId="0" xfId="0" applyNumberFormat="1" applyFont="1" applyFill="1" applyAlignment="1">
      <alignment horizontal="center"/>
    </xf>
    <xf numFmtId="1" fontId="0" fillId="5" borderId="0" xfId="0" applyNumberFormat="1" applyFill="1" applyAlignment="1">
      <alignment horizontal="center"/>
    </xf>
    <xf numFmtId="1" fontId="25" fillId="5" borderId="0" xfId="0" applyNumberFormat="1" applyFont="1" applyFill="1" applyAlignment="1">
      <alignment horizontal="center"/>
    </xf>
    <xf numFmtId="1" fontId="3" fillId="5" borderId="0" xfId="0" applyNumberFormat="1" applyFont="1" applyFill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4" xfId="0" applyFont="1" applyFill="1" applyBorder="1"/>
    <xf numFmtId="0" fontId="0" fillId="6" borderId="25" xfId="0" applyFill="1" applyBorder="1"/>
    <xf numFmtId="169" fontId="2" fillId="6" borderId="26" xfId="0" applyNumberFormat="1" applyFont="1" applyFill="1" applyBorder="1" applyAlignment="1">
      <alignment horizontal="center"/>
    </xf>
    <xf numFmtId="169" fontId="2" fillId="6" borderId="0" xfId="0" applyNumberFormat="1" applyFont="1" applyFill="1" applyAlignment="1">
      <alignment horizontal="center"/>
    </xf>
    <xf numFmtId="169" fontId="2" fillId="6" borderId="0" xfId="0" applyNumberFormat="1" applyFont="1" applyFill="1" applyAlignment="1">
      <alignment horizontal="left"/>
    </xf>
    <xf numFmtId="0" fontId="0" fillId="6" borderId="27" xfId="0" applyFill="1" applyBorder="1"/>
    <xf numFmtId="169" fontId="2" fillId="6" borderId="28" xfId="0" applyNumberFormat="1" applyFont="1" applyFill="1" applyBorder="1" applyAlignment="1">
      <alignment horizontal="center"/>
    </xf>
    <xf numFmtId="169" fontId="2" fillId="6" borderId="29" xfId="0" applyNumberFormat="1" applyFont="1" applyFill="1" applyBorder="1" applyAlignment="1">
      <alignment horizontal="center"/>
    </xf>
    <xf numFmtId="169" fontId="2" fillId="6" borderId="29" xfId="0" applyNumberFormat="1" applyFont="1" applyFill="1" applyBorder="1" applyAlignment="1">
      <alignment horizontal="left"/>
    </xf>
    <xf numFmtId="0" fontId="0" fillId="6" borderId="30" xfId="0" applyFill="1" applyBorder="1"/>
    <xf numFmtId="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9" fontId="2" fillId="0" borderId="0" xfId="0" applyNumberFormat="1" applyFont="1" applyAlignment="1">
      <alignment horizontal="left"/>
    </xf>
    <xf numFmtId="0" fontId="3" fillId="0" borderId="27" xfId="0" applyFont="1" applyBorder="1"/>
    <xf numFmtId="0" fontId="0" fillId="7" borderId="18" xfId="0" applyFill="1" applyBorder="1"/>
    <xf numFmtId="0" fontId="24" fillId="7" borderId="0" xfId="0" applyFont="1" applyFill="1" applyAlignment="1">
      <alignment horizontal="center"/>
    </xf>
    <xf numFmtId="0" fontId="2" fillId="7" borderId="18" xfId="0" applyFont="1" applyFill="1" applyBorder="1"/>
    <xf numFmtId="0" fontId="0" fillId="7" borderId="0" xfId="0" applyFill="1"/>
    <xf numFmtId="0" fontId="24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7" borderId="21" xfId="0" applyFill="1" applyBorder="1"/>
    <xf numFmtId="167" fontId="24" fillId="7" borderId="0" xfId="0" applyNumberFormat="1" applyFont="1" applyFill="1" applyAlignment="1">
      <alignment horizontal="center" vertical="center"/>
    </xf>
    <xf numFmtId="0" fontId="0" fillId="7" borderId="20" xfId="0" applyFill="1" applyBorder="1"/>
    <xf numFmtId="0" fontId="0" fillId="7" borderId="22" xfId="0" applyFill="1" applyBorder="1"/>
    <xf numFmtId="0" fontId="32" fillId="7" borderId="0" xfId="0" applyFont="1" applyFill="1" applyAlignment="1">
      <alignment horizontal="center" vertical="center"/>
    </xf>
    <xf numFmtId="0" fontId="3" fillId="7" borderId="0" xfId="0" applyFont="1" applyFill="1"/>
    <xf numFmtId="0" fontId="32" fillId="7" borderId="21" xfId="0" applyFont="1" applyFill="1" applyBorder="1" applyAlignment="1">
      <alignment horizontal="center" vertical="center"/>
    </xf>
    <xf numFmtId="2" fontId="2" fillId="4" borderId="0" xfId="0" applyNumberFormat="1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4" fontId="24" fillId="7" borderId="2" xfId="0" applyNumberFormat="1" applyFont="1" applyFill="1" applyBorder="1" applyAlignment="1">
      <alignment horizontal="center"/>
    </xf>
    <xf numFmtId="4" fontId="24" fillId="7" borderId="3" xfId="0" applyNumberFormat="1" applyFont="1" applyFill="1" applyBorder="1" applyAlignment="1">
      <alignment horizontal="center"/>
    </xf>
    <xf numFmtId="3" fontId="2" fillId="4" borderId="0" xfId="0" applyNumberFormat="1" applyFont="1" applyFill="1" applyAlignment="1">
      <alignment horizontal="center"/>
    </xf>
    <xf numFmtId="172" fontId="2" fillId="4" borderId="19" xfId="0" applyNumberFormat="1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4" fillId="7" borderId="0" xfId="0" applyFont="1" applyFill="1"/>
    <xf numFmtId="0" fontId="24" fillId="7" borderId="21" xfId="0" applyFont="1" applyFill="1" applyBorder="1"/>
    <xf numFmtId="0" fontId="28" fillId="7" borderId="21" xfId="0" applyFont="1" applyFill="1" applyBorder="1"/>
    <xf numFmtId="3" fontId="24" fillId="7" borderId="20" xfId="0" applyNumberFormat="1" applyFont="1" applyFill="1" applyBorder="1"/>
    <xf numFmtId="3" fontId="24" fillId="7" borderId="22" xfId="0" applyNumberFormat="1" applyFont="1" applyFill="1" applyBorder="1"/>
    <xf numFmtId="1" fontId="3" fillId="0" borderId="11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25" fillId="0" borderId="11" xfId="0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31" xfId="0" applyNumberFormat="1" applyFont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7" borderId="1" xfId="0" applyFill="1" applyBorder="1"/>
    <xf numFmtId="0" fontId="4" fillId="7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4" fontId="3" fillId="7" borderId="2" xfId="0" applyNumberFormat="1" applyFont="1" applyFill="1" applyBorder="1" applyAlignment="1">
      <alignment horizontal="center"/>
    </xf>
    <xf numFmtId="3" fontId="3" fillId="7" borderId="2" xfId="0" applyNumberFormat="1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4" fontId="3" fillId="7" borderId="3" xfId="0" applyNumberFormat="1" applyFont="1" applyFill="1" applyBorder="1" applyAlignment="1">
      <alignment horizontal="center"/>
    </xf>
    <xf numFmtId="3" fontId="3" fillId="7" borderId="3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24" fillId="7" borderId="2" xfId="0" applyNumberFormat="1" applyFont="1" applyFill="1" applyBorder="1" applyAlignment="1">
      <alignment horizontal="center"/>
    </xf>
    <xf numFmtId="3" fontId="24" fillId="7" borderId="3" xfId="0" applyNumberFormat="1" applyFont="1" applyFill="1" applyBorder="1" applyAlignment="1">
      <alignment horizontal="center"/>
    </xf>
    <xf numFmtId="171" fontId="2" fillId="4" borderId="0" xfId="0" applyNumberFormat="1" applyFont="1" applyFill="1" applyAlignment="1">
      <alignment horizontal="center"/>
    </xf>
    <xf numFmtId="169" fontId="2" fillId="4" borderId="0" xfId="0" applyNumberFormat="1" applyFont="1" applyFill="1" applyAlignment="1">
      <alignment horizontal="center"/>
    </xf>
    <xf numFmtId="0" fontId="0" fillId="7" borderId="0" xfId="0" applyFill="1" applyAlignment="1">
      <alignment vertical="center"/>
    </xf>
    <xf numFmtId="0" fontId="21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169" fontId="3" fillId="7" borderId="0" xfId="0" applyNumberFormat="1" applyFont="1" applyFill="1" applyAlignment="1">
      <alignment horizontal="center" vertical="center"/>
    </xf>
    <xf numFmtId="0" fontId="0" fillId="7" borderId="0" xfId="0" applyFill="1" applyAlignment="1">
      <alignment horizontal="left"/>
    </xf>
    <xf numFmtId="0" fontId="0" fillId="7" borderId="0" xfId="0" applyFill="1" applyAlignment="1">
      <alignment horizontal="right" vertical="center"/>
    </xf>
    <xf numFmtId="0" fontId="17" fillId="7" borderId="0" xfId="0" applyFont="1" applyFill="1" applyAlignment="1">
      <alignment vertical="center"/>
    </xf>
    <xf numFmtId="0" fontId="2" fillId="7" borderId="15" xfId="0" applyFont="1" applyFill="1" applyBorder="1"/>
    <xf numFmtId="0" fontId="24" fillId="7" borderId="16" xfId="0" applyFont="1" applyFill="1" applyBorder="1" applyAlignment="1">
      <alignment horizontal="center" vertical="center"/>
    </xf>
    <xf numFmtId="0" fontId="24" fillId="7" borderId="16" xfId="0" applyFont="1" applyFill="1" applyBorder="1" applyAlignment="1">
      <alignment horizontal="center"/>
    </xf>
    <xf numFmtId="0" fontId="0" fillId="7" borderId="17" xfId="0" applyFill="1" applyBorder="1"/>
    <xf numFmtId="0" fontId="0" fillId="7" borderId="15" xfId="0" applyFill="1" applyBorder="1"/>
    <xf numFmtId="0" fontId="2" fillId="7" borderId="16" xfId="0" applyFont="1" applyFill="1" applyBorder="1"/>
    <xf numFmtId="0" fontId="2" fillId="7" borderId="17" xfId="0" applyFont="1" applyFill="1" applyBorder="1"/>
    <xf numFmtId="3" fontId="2" fillId="4" borderId="18" xfId="0" applyNumberFormat="1" applyFont="1" applyFill="1" applyBorder="1" applyAlignment="1">
      <alignment horizontal="center"/>
    </xf>
    <xf numFmtId="3" fontId="2" fillId="4" borderId="20" xfId="0" applyNumberFormat="1" applyFont="1" applyFill="1" applyBorder="1" applyAlignment="1">
      <alignment horizontal="center"/>
    </xf>
    <xf numFmtId="2" fontId="2" fillId="4" borderId="21" xfId="0" applyNumberFormat="1" applyFont="1" applyFill="1" applyBorder="1" applyAlignment="1">
      <alignment horizontal="center"/>
    </xf>
    <xf numFmtId="0" fontId="2" fillId="7" borderId="23" xfId="0" applyFont="1" applyFill="1" applyBorder="1"/>
    <xf numFmtId="0" fontId="2" fillId="7" borderId="24" xfId="0" applyFont="1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12" fillId="7" borderId="26" xfId="0" applyFont="1" applyFill="1" applyBorder="1" applyAlignment="1">
      <alignment horizontal="center"/>
    </xf>
    <xf numFmtId="0" fontId="12" fillId="7" borderId="27" xfId="0" applyFont="1" applyFill="1" applyBorder="1" applyAlignment="1">
      <alignment horizontal="center"/>
    </xf>
    <xf numFmtId="0" fontId="2" fillId="7" borderId="28" xfId="0" applyFont="1" applyFill="1" applyBorder="1"/>
    <xf numFmtId="0" fontId="2" fillId="7" borderId="29" xfId="0" applyFont="1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center"/>
    </xf>
    <xf numFmtId="0" fontId="0" fillId="7" borderId="28" xfId="0" applyFill="1" applyBorder="1"/>
    <xf numFmtId="0" fontId="0" fillId="7" borderId="29" xfId="0" applyFill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2" fillId="7" borderId="16" xfId="0" applyFont="1" applyFill="1" applyBorder="1" applyAlignment="1">
      <alignment horizontal="center"/>
    </xf>
    <xf numFmtId="3" fontId="24" fillId="7" borderId="22" xfId="0" applyNumberFormat="1" applyFont="1" applyFill="1" applyBorder="1" applyAlignment="1">
      <alignment horizontal="center"/>
    </xf>
    <xf numFmtId="2" fontId="3" fillId="0" borderId="0" xfId="0" applyNumberFormat="1" applyFont="1"/>
    <xf numFmtId="0" fontId="3" fillId="0" borderId="0" xfId="0" quotePrefix="1" applyFont="1" applyAlignment="1">
      <alignment horizontal="left"/>
    </xf>
    <xf numFmtId="4" fontId="9" fillId="0" borderId="0" xfId="0" applyNumberFormat="1" applyFont="1"/>
    <xf numFmtId="173" fontId="2" fillId="0" borderId="0" xfId="0" applyNumberFormat="1" applyFont="1" applyAlignment="1">
      <alignment horizontal="center"/>
    </xf>
    <xf numFmtId="171" fontId="24" fillId="7" borderId="7" xfId="0" applyNumberFormat="1" applyFont="1" applyFill="1" applyBorder="1" applyAlignment="1">
      <alignment horizontal="center"/>
    </xf>
    <xf numFmtId="171" fontId="24" fillId="7" borderId="6" xfId="0" applyNumberFormat="1" applyFont="1" applyFill="1" applyBorder="1" applyAlignment="1">
      <alignment horizontal="center"/>
    </xf>
    <xf numFmtId="169" fontId="2" fillId="7" borderId="10" xfId="0" applyNumberFormat="1" applyFont="1" applyFill="1" applyBorder="1" applyAlignment="1">
      <alignment horizontal="left"/>
    </xf>
    <xf numFmtId="0" fontId="2" fillId="7" borderId="12" xfId="0" applyFont="1" applyFill="1" applyBorder="1"/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167" fontId="24" fillId="7" borderId="11" xfId="0" applyNumberFormat="1" applyFont="1" applyFill="1" applyBorder="1" applyAlignment="1">
      <alignment horizontal="center" vertical="center"/>
    </xf>
    <xf numFmtId="0" fontId="24" fillId="7" borderId="11" xfId="0" applyFont="1" applyFill="1" applyBorder="1"/>
    <xf numFmtId="2" fontId="24" fillId="7" borderId="0" xfId="0" applyNumberFormat="1" applyFont="1" applyFill="1" applyAlignment="1">
      <alignment horizontal="center"/>
    </xf>
    <xf numFmtId="0" fontId="11" fillId="7" borderId="0" xfId="0" applyFont="1" applyFill="1" applyAlignment="1">
      <alignment horizontal="center"/>
    </xf>
    <xf numFmtId="169" fontId="0" fillId="7" borderId="0" xfId="0" applyNumberFormat="1" applyFill="1" applyAlignment="1">
      <alignment horizontal="center"/>
    </xf>
    <xf numFmtId="167" fontId="24" fillId="7" borderId="20" xfId="0" applyNumberFormat="1" applyFont="1" applyFill="1" applyBorder="1" applyAlignment="1">
      <alignment horizontal="center" vertical="center"/>
    </xf>
    <xf numFmtId="174" fontId="3" fillId="0" borderId="0" xfId="0" applyNumberFormat="1" applyFont="1"/>
    <xf numFmtId="174" fontId="3" fillId="0" borderId="21" xfId="0" applyNumberFormat="1" applyFont="1" applyBorder="1"/>
    <xf numFmtId="0" fontId="1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8" borderId="4" xfId="0" applyFont="1" applyFill="1" applyBorder="1"/>
    <xf numFmtId="0" fontId="2" fillId="8" borderId="5" xfId="0" applyFont="1" applyFill="1" applyBorder="1"/>
    <xf numFmtId="0" fontId="2" fillId="8" borderId="4" xfId="0" applyFont="1" applyFill="1" applyBorder="1" applyAlignment="1">
      <alignment horizontal="right"/>
    </xf>
    <xf numFmtId="0" fontId="2" fillId="8" borderId="7" xfId="0" applyFont="1" applyFill="1" applyBorder="1" applyAlignment="1">
      <alignment horizontal="right"/>
    </xf>
    <xf numFmtId="0" fontId="11" fillId="7" borderId="1" xfId="0" applyFont="1" applyFill="1" applyBorder="1" applyAlignment="1">
      <alignment horizontal="center"/>
    </xf>
    <xf numFmtId="1" fontId="25" fillId="0" borderId="0" xfId="0" applyNumberFormat="1" applyFont="1" applyAlignment="1">
      <alignment horizontal="center"/>
    </xf>
    <xf numFmtId="0" fontId="3" fillId="0" borderId="18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170" fontId="3" fillId="0" borderId="18" xfId="0" applyNumberFormat="1" applyFont="1" applyBorder="1" applyAlignment="1">
      <alignment horizontal="center"/>
    </xf>
    <xf numFmtId="167" fontId="3" fillId="0" borderId="18" xfId="0" applyNumberFormat="1" applyFont="1" applyBorder="1" applyAlignment="1">
      <alignment horizontal="center"/>
    </xf>
    <xf numFmtId="167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164" fontId="12" fillId="9" borderId="0" xfId="0" applyNumberFormat="1" applyFont="1" applyFill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>
      <alignment horizontal="center"/>
    </xf>
    <xf numFmtId="174" fontId="3" fillId="0" borderId="11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horizontal="center" vertical="center"/>
    </xf>
    <xf numFmtId="174" fontId="3" fillId="0" borderId="0" xfId="0" applyNumberFormat="1" applyFont="1" applyAlignment="1">
      <alignment horizontal="center"/>
    </xf>
    <xf numFmtId="2" fontId="2" fillId="8" borderId="5" xfId="0" applyNumberFormat="1" applyFont="1" applyFill="1" applyBorder="1" applyAlignment="1">
      <alignment horizontal="left"/>
    </xf>
    <xf numFmtId="2" fontId="2" fillId="8" borderId="6" xfId="0" applyNumberFormat="1" applyFont="1" applyFill="1" applyBorder="1" applyAlignment="1">
      <alignment horizontal="left"/>
    </xf>
    <xf numFmtId="168" fontId="3" fillId="9" borderId="11" xfId="0" applyNumberFormat="1" applyFont="1" applyFill="1" applyBorder="1" applyAlignment="1">
      <alignment horizontal="center"/>
    </xf>
    <xf numFmtId="0" fontId="2" fillId="7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2" fillId="7" borderId="0" xfId="0" applyFont="1" applyFill="1" applyAlignment="1">
      <alignment horizontal="center"/>
    </xf>
    <xf numFmtId="0" fontId="9" fillId="7" borderId="0" xfId="0" applyFont="1" applyFill="1" applyAlignment="1">
      <alignment horizontal="left"/>
    </xf>
    <xf numFmtId="0" fontId="17" fillId="7" borderId="13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/>
    </xf>
    <xf numFmtId="173" fontId="3" fillId="0" borderId="0" xfId="0" applyNumberFormat="1" applyFont="1"/>
    <xf numFmtId="173" fontId="9" fillId="0" borderId="0" xfId="0" applyNumberFormat="1" applyFont="1" applyAlignment="1">
      <alignment horizontal="right"/>
    </xf>
    <xf numFmtId="169" fontId="3" fillId="7" borderId="0" xfId="0" applyNumberFormat="1" applyFont="1" applyFill="1" applyAlignment="1">
      <alignment horizontal="center"/>
    </xf>
    <xf numFmtId="0" fontId="9" fillId="7" borderId="0" xfId="0" applyFont="1" applyFill="1" applyAlignment="1">
      <alignment vertical="center"/>
    </xf>
    <xf numFmtId="2" fontId="9" fillId="0" borderId="0" xfId="0" applyNumberFormat="1" applyFont="1"/>
    <xf numFmtId="0" fontId="3" fillId="9" borderId="0" xfId="0" applyFont="1" applyFill="1" applyAlignment="1">
      <alignment horizontal="center"/>
    </xf>
    <xf numFmtId="0" fontId="0" fillId="10" borderId="15" xfId="0" applyFill="1" applyBorder="1"/>
    <xf numFmtId="0" fontId="0" fillId="7" borderId="19" xfId="0" applyFill="1" applyBorder="1"/>
    <xf numFmtId="0" fontId="3" fillId="9" borderId="4" xfId="0" applyFont="1" applyFill="1" applyBorder="1" applyAlignment="1">
      <alignment horizontal="center"/>
    </xf>
    <xf numFmtId="2" fontId="2" fillId="9" borderId="0" xfId="0" applyNumberFormat="1" applyFont="1" applyFill="1" applyAlignment="1">
      <alignment horizontal="center"/>
    </xf>
    <xf numFmtId="1" fontId="25" fillId="9" borderId="0" xfId="0" applyNumberFormat="1" applyFont="1" applyFill="1" applyAlignment="1">
      <alignment horizontal="center"/>
    </xf>
    <xf numFmtId="0" fontId="25" fillId="9" borderId="0" xfId="0" applyFont="1" applyFill="1" applyAlignment="1">
      <alignment horizontal="center"/>
    </xf>
    <xf numFmtId="2" fontId="0" fillId="9" borderId="0" xfId="0" applyNumberFormat="1" applyFill="1" applyAlignment="1">
      <alignment horizontal="center"/>
    </xf>
    <xf numFmtId="2" fontId="25" fillId="9" borderId="0" xfId="0" applyNumberFormat="1" applyFont="1" applyFill="1" applyAlignment="1">
      <alignment horizontal="center"/>
    </xf>
    <xf numFmtId="10" fontId="25" fillId="9" borderId="0" xfId="0" applyNumberFormat="1" applyFont="1" applyFill="1" applyAlignment="1">
      <alignment horizontal="center"/>
    </xf>
    <xf numFmtId="169" fontId="25" fillId="9" borderId="0" xfId="0" applyNumberFormat="1" applyFont="1" applyFill="1" applyAlignment="1">
      <alignment horizontal="center"/>
    </xf>
    <xf numFmtId="169" fontId="26" fillId="9" borderId="0" xfId="0" applyNumberFormat="1" applyFont="1" applyFill="1" applyAlignment="1">
      <alignment horizontal="center"/>
    </xf>
    <xf numFmtId="169" fontId="0" fillId="9" borderId="0" xfId="0" applyNumberFormat="1" applyFill="1"/>
    <xf numFmtId="0" fontId="25" fillId="9" borderId="0" xfId="0" applyFont="1" applyFill="1"/>
    <xf numFmtId="1" fontId="3" fillId="9" borderId="0" xfId="0" applyNumberFormat="1" applyFont="1" applyFill="1" applyAlignment="1">
      <alignment horizontal="center"/>
    </xf>
    <xf numFmtId="2" fontId="3" fillId="9" borderId="0" xfId="0" applyNumberFormat="1" applyFont="1" applyFill="1" applyAlignment="1">
      <alignment horizontal="center"/>
    </xf>
    <xf numFmtId="10" fontId="3" fillId="9" borderId="0" xfId="0" applyNumberFormat="1" applyFont="1" applyFill="1" applyAlignment="1">
      <alignment horizontal="center"/>
    </xf>
    <xf numFmtId="169" fontId="3" fillId="9" borderId="0" xfId="0" applyNumberFormat="1" applyFont="1" applyFill="1" applyAlignment="1">
      <alignment horizontal="center"/>
    </xf>
    <xf numFmtId="169" fontId="2" fillId="9" borderId="0" xfId="0" applyNumberFormat="1" applyFont="1" applyFill="1" applyAlignment="1">
      <alignment horizontal="center"/>
    </xf>
    <xf numFmtId="0" fontId="0" fillId="9" borderId="0" xfId="0" applyFill="1"/>
    <xf numFmtId="2" fontId="11" fillId="9" borderId="0" xfId="0" applyNumberFormat="1" applyFont="1" applyFill="1" applyAlignment="1">
      <alignment horizontal="center"/>
    </xf>
    <xf numFmtId="171" fontId="24" fillId="0" borderId="7" xfId="0" applyNumberFormat="1" applyFont="1" applyBorder="1" applyAlignment="1">
      <alignment horizontal="center"/>
    </xf>
    <xf numFmtId="174" fontId="3" fillId="9" borderId="0" xfId="0" applyNumberFormat="1" applyFont="1" applyFill="1" applyAlignment="1">
      <alignment horizontal="center"/>
    </xf>
    <xf numFmtId="168" fontId="3" fillId="9" borderId="21" xfId="0" applyNumberFormat="1" applyFont="1" applyFill="1" applyBorder="1" applyAlignment="1">
      <alignment horizontal="center"/>
    </xf>
    <xf numFmtId="0" fontId="3" fillId="9" borderId="10" xfId="0" applyFont="1" applyFill="1" applyBorder="1" applyAlignment="1">
      <alignment horizontal="center"/>
    </xf>
    <xf numFmtId="174" fontId="3" fillId="9" borderId="11" xfId="0" applyNumberFormat="1" applyFont="1" applyFill="1" applyBorder="1" applyAlignment="1">
      <alignment horizontal="center"/>
    </xf>
    <xf numFmtId="0" fontId="3" fillId="9" borderId="11" xfId="0" applyFont="1" applyFill="1" applyBorder="1" applyAlignment="1">
      <alignment horizontal="center"/>
    </xf>
    <xf numFmtId="168" fontId="3" fillId="0" borderId="21" xfId="0" applyNumberFormat="1" applyFont="1" applyBorder="1" applyAlignment="1">
      <alignment horizontal="center"/>
    </xf>
    <xf numFmtId="168" fontId="25" fillId="0" borderId="21" xfId="0" applyNumberFormat="1" applyFont="1" applyBorder="1" applyAlignment="1">
      <alignment horizontal="center"/>
    </xf>
    <xf numFmtId="168" fontId="25" fillId="0" borderId="0" xfId="0" applyNumberFormat="1" applyFont="1" applyAlignment="1">
      <alignment horizontal="center"/>
    </xf>
    <xf numFmtId="168" fontId="3" fillId="0" borderId="20" xfId="0" applyNumberFormat="1" applyFont="1" applyBorder="1" applyAlignment="1">
      <alignment horizontal="center"/>
    </xf>
    <xf numFmtId="168" fontId="3" fillId="0" borderId="22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7" borderId="19" xfId="0" applyFill="1" applyBorder="1" applyAlignment="1">
      <alignment horizontal="center"/>
    </xf>
    <xf numFmtId="174" fontId="0" fillId="7" borderId="20" xfId="0" applyNumberFormat="1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168" fontId="5" fillId="7" borderId="22" xfId="0" applyNumberFormat="1" applyFont="1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174" fontId="0" fillId="7" borderId="39" xfId="0" applyNumberFormat="1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168" fontId="3" fillId="7" borderId="40" xfId="0" applyNumberFormat="1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7" fillId="7" borderId="8" xfId="0" applyFont="1" applyFill="1" applyBorder="1" applyAlignment="1">
      <alignment horizontal="center"/>
    </xf>
    <xf numFmtId="0" fontId="17" fillId="7" borderId="9" xfId="0" applyFont="1" applyFill="1" applyBorder="1" applyAlignment="1">
      <alignment horizontal="center"/>
    </xf>
    <xf numFmtId="0" fontId="24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0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75" fontId="2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0" fillId="7" borderId="8" xfId="0" applyFont="1" applyFill="1" applyBorder="1" applyAlignment="1">
      <alignment horizontal="center"/>
    </xf>
    <xf numFmtId="0" fontId="30" fillId="7" borderId="9" xfId="0" applyFont="1" applyFill="1" applyBorder="1" applyAlignment="1">
      <alignment horizontal="center"/>
    </xf>
    <xf numFmtId="169" fontId="2" fillId="8" borderId="10" xfId="0" applyNumberFormat="1" applyFont="1" applyFill="1" applyBorder="1" applyAlignment="1">
      <alignment horizontal="center"/>
    </xf>
    <xf numFmtId="169" fontId="2" fillId="8" borderId="12" xfId="0" applyNumberFormat="1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4" fillId="0" borderId="20" xfId="0" applyFont="1" applyBorder="1" applyAlignment="1">
      <alignment horizontal="center"/>
    </xf>
    <xf numFmtId="0" fontId="20" fillId="0" borderId="0" xfId="0" applyFont="1" applyAlignment="1">
      <alignment horizontal="center"/>
    </xf>
    <xf numFmtId="174" fontId="26" fillId="4" borderId="20" xfId="0" applyNumberFormat="1" applyFont="1" applyFill="1" applyBorder="1" applyAlignment="1">
      <alignment horizontal="left"/>
    </xf>
    <xf numFmtId="174" fontId="26" fillId="4" borderId="22" xfId="0" applyNumberFormat="1" applyFont="1" applyFill="1" applyBorder="1" applyAlignment="1">
      <alignment horizontal="left"/>
    </xf>
    <xf numFmtId="174" fontId="26" fillId="4" borderId="0" xfId="0" applyNumberFormat="1" applyFont="1" applyFill="1" applyAlignment="1">
      <alignment horizontal="left"/>
    </xf>
    <xf numFmtId="174" fontId="26" fillId="4" borderId="21" xfId="0" applyNumberFormat="1" applyFont="1" applyFill="1" applyBorder="1" applyAlignment="1">
      <alignment horizontal="left"/>
    </xf>
    <xf numFmtId="0" fontId="3" fillId="7" borderId="18" xfId="0" applyFont="1" applyFill="1" applyBorder="1" applyAlignment="1">
      <alignment horizontal="right"/>
    </xf>
    <xf numFmtId="0" fontId="3" fillId="7" borderId="0" xfId="0" applyFont="1" applyFill="1" applyAlignment="1">
      <alignment horizontal="right"/>
    </xf>
    <xf numFmtId="0" fontId="3" fillId="7" borderId="18" xfId="0" applyFont="1" applyFill="1" applyBorder="1" applyAlignment="1">
      <alignment horizontal="right" vertical="center"/>
    </xf>
    <xf numFmtId="0" fontId="3" fillId="7" borderId="0" xfId="0" applyFont="1" applyFill="1" applyAlignment="1">
      <alignment horizontal="right" vertical="center"/>
    </xf>
    <xf numFmtId="0" fontId="3" fillId="7" borderId="19" xfId="0" applyFont="1" applyFill="1" applyBorder="1" applyAlignment="1">
      <alignment horizontal="right"/>
    </xf>
    <xf numFmtId="0" fontId="3" fillId="7" borderId="20" xfId="0" applyFont="1" applyFill="1" applyBorder="1" applyAlignment="1">
      <alignment horizontal="right"/>
    </xf>
    <xf numFmtId="174" fontId="26" fillId="4" borderId="0" xfId="0" applyNumberFormat="1" applyFont="1" applyFill="1" applyAlignment="1">
      <alignment horizontal="center"/>
    </xf>
    <xf numFmtId="174" fontId="26" fillId="4" borderId="20" xfId="0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26" fillId="4" borderId="16" xfId="0" applyFont="1" applyFill="1" applyBorder="1" applyAlignment="1">
      <alignment horizontal="left"/>
    </xf>
    <xf numFmtId="0" fontId="26" fillId="4" borderId="17" xfId="0" applyFont="1" applyFill="1" applyBorder="1" applyAlignment="1">
      <alignment horizontal="left"/>
    </xf>
    <xf numFmtId="0" fontId="2" fillId="4" borderId="16" xfId="0" applyFont="1" applyFill="1" applyBorder="1" applyAlignment="1">
      <alignment horizontal="center"/>
    </xf>
    <xf numFmtId="0" fontId="0" fillId="7" borderId="0" xfId="0" applyFill="1" applyAlignment="1">
      <alignment horizontal="right"/>
    </xf>
    <xf numFmtId="0" fontId="18" fillId="0" borderId="0" xfId="0" applyFont="1" applyAlignment="1">
      <alignment horizontal="center" vertical="center"/>
    </xf>
    <xf numFmtId="0" fontId="2" fillId="4" borderId="15" xfId="0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3" fillId="9" borderId="0" xfId="0" applyFont="1" applyFill="1" applyAlignment="1">
      <alignment horizontal="center"/>
    </xf>
    <xf numFmtId="0" fontId="3" fillId="9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3" fillId="0" borderId="0" xfId="0" applyFont="1" applyAlignment="1"/>
    <xf numFmtId="0" fontId="0" fillId="0" borderId="17" xfId="0" applyBorder="1" applyAlignment="1"/>
  </cellXfs>
  <cellStyles count="3">
    <cellStyle name="Check Cell" xfId="1" builtinId="23"/>
    <cellStyle name="Normal" xfId="0" builtinId="0"/>
    <cellStyle name="Percent" xfId="2" builtinId="5"/>
  </cellStyles>
  <dxfs count="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9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Distribution System Losses (%) - </a:t>
            </a:r>
            <a:r>
              <a:rPr lang="en-US" sz="15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1995</a:t>
            </a:r>
          </a:p>
        </c:rich>
      </c:tx>
      <c:layout>
        <c:manualLayout>
          <c:xMode val="edge"/>
          <c:yMode val="edge"/>
          <c:x val="0.21385184242269947"/>
          <c:y val="2.715632410900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07661985769233"/>
          <c:y val="0.13418530351437699"/>
          <c:w val="0.82017059595859509"/>
          <c:h val="0.706070287539936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1995'!$M$5:$M$31</c:f>
              <c:numCache>
                <c:formatCode>0.00%</c:formatCode>
                <c:ptCount val="27"/>
                <c:pt idx="0">
                  <c:v>5.3281690444859781E-2</c:v>
                </c:pt>
                <c:pt idx="1">
                  <c:v>4.7423236869618628E-2</c:v>
                </c:pt>
                <c:pt idx="2">
                  <c:v>4.3266572608018715E-2</c:v>
                </c:pt>
                <c:pt idx="3">
                  <c:v>4.0244011047760389E-2</c:v>
                </c:pt>
                <c:pt idx="4">
                  <c:v>3.8014941091491831E-2</c:v>
                </c:pt>
                <c:pt idx="5">
                  <c:v>3.6362611011717214E-2</c:v>
                </c:pt>
                <c:pt idx="6">
                  <c:v>3.5142520378255361E-2</c:v>
                </c:pt>
                <c:pt idx="7">
                  <c:v>3.4254631096106158E-2</c:v>
                </c:pt>
                <c:pt idx="8">
                  <c:v>3.3627487998521007E-2</c:v>
                </c:pt>
                <c:pt idx="9">
                  <c:v>3.3208691202848653E-2</c:v>
                </c:pt>
                <c:pt idx="10">
                  <c:v>3.2958941332942179E-2</c:v>
                </c:pt>
                <c:pt idx="11">
                  <c:v>3.2848186427778495E-2</c:v>
                </c:pt>
                <c:pt idx="12">
                  <c:v>3.2853053213874189E-2</c:v>
                </c:pt>
                <c:pt idx="13">
                  <c:v>3.2955089554836156E-2</c:v>
                </c:pt>
                <c:pt idx="14">
                  <c:v>3.3139534166049589E-2</c:v>
                </c:pt>
                <c:pt idx="15">
                  <c:v>3.3394437839457655E-2</c:v>
                </c:pt>
                <c:pt idx="16">
                  <c:v>3.3710024334312805E-2</c:v>
                </c:pt>
                <c:pt idx="17">
                  <c:v>3.4078217992082195E-2</c:v>
                </c:pt>
                <c:pt idx="18">
                  <c:v>3.4492289447628839E-2</c:v>
                </c:pt>
                <c:pt idx="19">
                  <c:v>3.4946586369711562E-2</c:v>
                </c:pt>
                <c:pt idx="20">
                  <c:v>3.5436326338294508E-2</c:v>
                </c:pt>
                <c:pt idx="21">
                  <c:v>3.5957435749123197E-2</c:v>
                </c:pt>
                <c:pt idx="22">
                  <c:v>3.650642323875046E-2</c:v>
                </c:pt>
                <c:pt idx="23">
                  <c:v>3.7080279297489825E-2</c:v>
                </c:pt>
                <c:pt idx="24">
                  <c:v>3.7676395959779806E-2</c:v>
                </c:pt>
                <c:pt idx="25">
                  <c:v>3.8292502038350607E-2</c:v>
                </c:pt>
                <c:pt idx="26">
                  <c:v>3.8926610501985849E-2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EC-4EDB-843E-EA90426D7E94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val>
            <c:numRef>
              <c:f>'Loss Analysis 1995'!$N$5:$N$31</c:f>
              <c:numCache>
                <c:formatCode>0.00%</c:formatCode>
                <c:ptCount val="27"/>
                <c:pt idx="0">
                  <c:v>1.0406870385737734E-2</c:v>
                </c:pt>
                <c:pt idx="1">
                  <c:v>1.2141348783360689E-2</c:v>
                </c:pt>
                <c:pt idx="2">
                  <c:v>1.3875827180983643E-2</c:v>
                </c:pt>
                <c:pt idx="3">
                  <c:v>1.56103055786066E-2</c:v>
                </c:pt>
                <c:pt idx="4">
                  <c:v>1.7344783976229555E-2</c:v>
                </c:pt>
                <c:pt idx="5">
                  <c:v>1.9079262373852511E-2</c:v>
                </c:pt>
                <c:pt idx="6">
                  <c:v>2.0813740771475468E-2</c:v>
                </c:pt>
                <c:pt idx="7">
                  <c:v>2.2548219169098424E-2</c:v>
                </c:pt>
                <c:pt idx="8">
                  <c:v>2.4282697566721377E-2</c:v>
                </c:pt>
                <c:pt idx="9">
                  <c:v>2.6017175964344334E-2</c:v>
                </c:pt>
                <c:pt idx="10">
                  <c:v>2.7751654361967287E-2</c:v>
                </c:pt>
                <c:pt idx="11">
                  <c:v>2.9486132759590247E-2</c:v>
                </c:pt>
                <c:pt idx="12">
                  <c:v>3.12206111572132E-2</c:v>
                </c:pt>
                <c:pt idx="13">
                  <c:v>3.2955089554836156E-2</c:v>
                </c:pt>
                <c:pt idx="14">
                  <c:v>3.4689567952459109E-2</c:v>
                </c:pt>
                <c:pt idx="15">
                  <c:v>3.6424046350082069E-2</c:v>
                </c:pt>
                <c:pt idx="16">
                  <c:v>3.8158524747705022E-2</c:v>
                </c:pt>
                <c:pt idx="17">
                  <c:v>3.9893003145327975E-2</c:v>
                </c:pt>
                <c:pt idx="18">
                  <c:v>4.1627481542950935E-2</c:v>
                </c:pt>
                <c:pt idx="19">
                  <c:v>4.3361959940573895E-2</c:v>
                </c:pt>
                <c:pt idx="20">
                  <c:v>4.5096438338196848E-2</c:v>
                </c:pt>
                <c:pt idx="21">
                  <c:v>4.6830916735819801E-2</c:v>
                </c:pt>
                <c:pt idx="22">
                  <c:v>4.8565395133442754E-2</c:v>
                </c:pt>
                <c:pt idx="23">
                  <c:v>5.0299873531065714E-2</c:v>
                </c:pt>
                <c:pt idx="24">
                  <c:v>5.2034351928688667E-2</c:v>
                </c:pt>
                <c:pt idx="25">
                  <c:v>5.376883032631162E-2</c:v>
                </c:pt>
                <c:pt idx="26">
                  <c:v>5.5503308723934573E-2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EC-4EDB-843E-EA90426D7E94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lgDash"/>
            </a:ln>
          </c:spPr>
          <c:marker>
            <c:symbol val="none"/>
          </c:marker>
          <c:val>
            <c:numRef>
              <c:f>'Loss Analysis 1995'!$P$5:$P$31</c:f>
              <c:numCache>
                <c:formatCode>0.00%</c:formatCode>
                <c:ptCount val="27"/>
                <c:pt idx="0">
                  <c:v>2.8445445721016472E-2</c:v>
                </c:pt>
                <c:pt idx="1">
                  <c:v>2.8792341400541065E-2</c:v>
                </c:pt>
                <c:pt idx="2">
                  <c:v>2.9139237080065654E-2</c:v>
                </c:pt>
                <c:pt idx="3">
                  <c:v>2.9486132759590247E-2</c:v>
                </c:pt>
                <c:pt idx="4">
                  <c:v>2.9833028439114836E-2</c:v>
                </c:pt>
                <c:pt idx="5">
                  <c:v>3.0179924118639428E-2</c:v>
                </c:pt>
                <c:pt idx="6">
                  <c:v>3.0526819798164018E-2</c:v>
                </c:pt>
                <c:pt idx="7">
                  <c:v>3.087371547768861E-2</c:v>
                </c:pt>
                <c:pt idx="8">
                  <c:v>3.1220611157213203E-2</c:v>
                </c:pt>
                <c:pt idx="9">
                  <c:v>3.1567506836737792E-2</c:v>
                </c:pt>
                <c:pt idx="10">
                  <c:v>3.1914402516262382E-2</c:v>
                </c:pt>
                <c:pt idx="11">
                  <c:v>3.2261298195786978E-2</c:v>
                </c:pt>
                <c:pt idx="12">
                  <c:v>3.2608193875311567E-2</c:v>
                </c:pt>
                <c:pt idx="13">
                  <c:v>3.2955089554836156E-2</c:v>
                </c:pt>
                <c:pt idx="14">
                  <c:v>3.3301985234360745E-2</c:v>
                </c:pt>
                <c:pt idx="15">
                  <c:v>3.3648880913885341E-2</c:v>
                </c:pt>
                <c:pt idx="16">
                  <c:v>3.3995776593409931E-2</c:v>
                </c:pt>
                <c:pt idx="17">
                  <c:v>3.434267227293452E-2</c:v>
                </c:pt>
                <c:pt idx="18">
                  <c:v>3.4689567952459109E-2</c:v>
                </c:pt>
                <c:pt idx="19">
                  <c:v>3.5036463631983705E-2</c:v>
                </c:pt>
                <c:pt idx="20">
                  <c:v>3.5383359311508294E-2</c:v>
                </c:pt>
                <c:pt idx="21">
                  <c:v>3.5730254991032884E-2</c:v>
                </c:pt>
                <c:pt idx="22">
                  <c:v>3.6077150670557473E-2</c:v>
                </c:pt>
                <c:pt idx="23">
                  <c:v>3.6424046350082062E-2</c:v>
                </c:pt>
                <c:pt idx="24">
                  <c:v>3.6770942029606658E-2</c:v>
                </c:pt>
                <c:pt idx="25">
                  <c:v>3.7117837709131248E-2</c:v>
                </c:pt>
                <c:pt idx="26">
                  <c:v>3.7464733388655837E-2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EC-4EDB-843E-EA90426D7E94}"/>
            </c:ext>
          </c:extLst>
        </c:ser>
        <c:ser>
          <c:idx val="3"/>
          <c:order val="3"/>
          <c:spPr>
            <a:ln w="12700">
              <a:solidFill>
                <a:srgbClr val="993366"/>
              </a:solidFill>
              <a:prstDash val="lgDashDotDot"/>
            </a:ln>
          </c:spPr>
          <c:marker>
            <c:symbol val="none"/>
          </c:marker>
          <c:val>
            <c:numRef>
              <c:f>'Loss Analysis 1995'!$R$5:$R$31</c:f>
              <c:numCache>
                <c:formatCode>0.00%</c:formatCode>
                <c:ptCount val="27"/>
                <c:pt idx="0">
                  <c:v>3.2955089554836156E-2</c:v>
                </c:pt>
                <c:pt idx="1">
                  <c:v>3.2955089554836156E-2</c:v>
                </c:pt>
                <c:pt idx="2">
                  <c:v>3.2955089554836156E-2</c:v>
                </c:pt>
                <c:pt idx="3">
                  <c:v>3.2955089554836156E-2</c:v>
                </c:pt>
                <c:pt idx="4">
                  <c:v>3.2955089554836156E-2</c:v>
                </c:pt>
                <c:pt idx="5">
                  <c:v>3.2955089554836156E-2</c:v>
                </c:pt>
                <c:pt idx="6">
                  <c:v>3.2955089554836156E-2</c:v>
                </c:pt>
                <c:pt idx="7">
                  <c:v>3.2955089554836156E-2</c:v>
                </c:pt>
                <c:pt idx="8">
                  <c:v>3.2955089554836156E-2</c:v>
                </c:pt>
                <c:pt idx="9">
                  <c:v>3.2955089554836156E-2</c:v>
                </c:pt>
                <c:pt idx="10">
                  <c:v>3.2955089554836156E-2</c:v>
                </c:pt>
                <c:pt idx="11">
                  <c:v>3.2955089554836156E-2</c:v>
                </c:pt>
                <c:pt idx="12">
                  <c:v>3.2955089554836156E-2</c:v>
                </c:pt>
                <c:pt idx="13">
                  <c:v>3.2955089554836156E-2</c:v>
                </c:pt>
                <c:pt idx="14">
                  <c:v>3.2955089554836156E-2</c:v>
                </c:pt>
                <c:pt idx="15">
                  <c:v>3.2955089554836156E-2</c:v>
                </c:pt>
                <c:pt idx="16">
                  <c:v>3.2955089554836156E-2</c:v>
                </c:pt>
                <c:pt idx="17">
                  <c:v>3.2955089554836156E-2</c:v>
                </c:pt>
                <c:pt idx="18">
                  <c:v>3.2955089554836156E-2</c:v>
                </c:pt>
                <c:pt idx="19">
                  <c:v>3.2955089554836156E-2</c:v>
                </c:pt>
                <c:pt idx="20">
                  <c:v>3.2955089554836156E-2</c:v>
                </c:pt>
                <c:pt idx="21">
                  <c:v>3.2955089554836156E-2</c:v>
                </c:pt>
                <c:pt idx="22">
                  <c:v>3.2955089554836156E-2</c:v>
                </c:pt>
                <c:pt idx="23">
                  <c:v>3.2955089554836156E-2</c:v>
                </c:pt>
                <c:pt idx="24">
                  <c:v>3.2955089554836156E-2</c:v>
                </c:pt>
                <c:pt idx="25">
                  <c:v>3.2955089554836156E-2</c:v>
                </c:pt>
                <c:pt idx="26">
                  <c:v>3.2955089554836156E-2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EC-4EDB-843E-EA90426D7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9707055"/>
        <c:axId val="1"/>
      </c:lineChart>
      <c:catAx>
        <c:axId val="2297070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5236953925793918"/>
              <c:y val="0.9105430792212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4.1312214726046077E-2"/>
              <c:y val="0.40415339561654473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707055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System Losses (MW)</a:t>
            </a:r>
          </a:p>
        </c:rich>
      </c:tx>
      <c:layout>
        <c:manualLayout>
          <c:xMode val="edge"/>
          <c:yMode val="edge"/>
          <c:x val="0.24342121042401077"/>
          <c:y val="2.8213153166579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7369190332796"/>
          <c:y val="0.13322884012539185"/>
          <c:w val="0.81315841717106363"/>
          <c:h val="0.7131661442006269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1995'!$J$5:$J$31</c:f>
              <c:numCache>
                <c:formatCode>0.00</c:formatCode>
                <c:ptCount val="27"/>
                <c:pt idx="0">
                  <c:v>127.87605706766348</c:v>
                </c:pt>
                <c:pt idx="1">
                  <c:v>132.78506323493215</c:v>
                </c:pt>
                <c:pt idx="2">
                  <c:v>138.45303234565989</c:v>
                </c:pt>
                <c:pt idx="3">
                  <c:v>144.87843977193739</c:v>
                </c:pt>
                <c:pt idx="4">
                  <c:v>152.05976436596734</c:v>
                </c:pt>
                <c:pt idx="5">
                  <c:v>159.99548845155573</c:v>
                </c:pt>
                <c:pt idx="6">
                  <c:v>168.68409781562573</c:v>
                </c:pt>
                <c:pt idx="7">
                  <c:v>178.12408169975203</c:v>
                </c:pt>
                <c:pt idx="8">
                  <c:v>188.31393279171763</c:v>
                </c:pt>
                <c:pt idx="9">
                  <c:v>199.2521472170919</c:v>
                </c:pt>
                <c:pt idx="10">
                  <c:v>210.93722453082995</c:v>
                </c:pt>
                <c:pt idx="11">
                  <c:v>223.36766770889375</c:v>
                </c:pt>
                <c:pt idx="12">
                  <c:v>236.54198313989414</c:v>
                </c:pt>
                <c:pt idx="13">
                  <c:v>250.4586806167548</c:v>
                </c:pt>
                <c:pt idx="14">
                  <c:v>265.11627332839669</c:v>
                </c:pt>
                <c:pt idx="15">
                  <c:v>280.51327785144429</c:v>
                </c:pt>
                <c:pt idx="16">
                  <c:v>296.64821414195268</c:v>
                </c:pt>
                <c:pt idx="17">
                  <c:v>313.51960552715622</c:v>
                </c:pt>
                <c:pt idx="18">
                  <c:v>331.12597869723686</c:v>
                </c:pt>
                <c:pt idx="19">
                  <c:v>349.46586369711559</c:v>
                </c:pt>
                <c:pt idx="20">
                  <c:v>368.53779391826288</c:v>
                </c:pt>
                <c:pt idx="21">
                  <c:v>388.34030609053053</c:v>
                </c:pt>
                <c:pt idx="22">
                  <c:v>408.87194027400517</c:v>
                </c:pt>
                <c:pt idx="23">
                  <c:v>430.13123985088197</c:v>
                </c:pt>
                <c:pt idx="24">
                  <c:v>452.11675151735767</c:v>
                </c:pt>
                <c:pt idx="25">
                  <c:v>474.8270252755475</c:v>
                </c:pt>
                <c:pt idx="26">
                  <c:v>498.26061442541891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B1-4CB5-AA16-CB0C3D5F48D0}"/>
            </c:ext>
          </c:extLst>
        </c:ser>
        <c:ser>
          <c:idx val="1"/>
          <c:order val="1"/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1995'!$K$5:$K$31</c:f>
              <c:numCache>
                <c:formatCode>0.00</c:formatCode>
                <c:ptCount val="27"/>
                <c:pt idx="0">
                  <c:v>79.092214931606776</c:v>
                </c:pt>
                <c:pt idx="1">
                  <c:v>92.274250753541239</c:v>
                </c:pt>
                <c:pt idx="2">
                  <c:v>105.4562865754757</c:v>
                </c:pt>
                <c:pt idx="3">
                  <c:v>118.63832239741016</c:v>
                </c:pt>
                <c:pt idx="4">
                  <c:v>131.82035821934463</c:v>
                </c:pt>
                <c:pt idx="5">
                  <c:v>145.0023940412791</c:v>
                </c:pt>
                <c:pt idx="6">
                  <c:v>158.18442986321355</c:v>
                </c:pt>
                <c:pt idx="7">
                  <c:v>171.36646568514803</c:v>
                </c:pt>
                <c:pt idx="8">
                  <c:v>184.54850150708248</c:v>
                </c:pt>
                <c:pt idx="9">
                  <c:v>197.73053732901695</c:v>
                </c:pt>
                <c:pt idx="10">
                  <c:v>210.9125731509514</c:v>
                </c:pt>
                <c:pt idx="11">
                  <c:v>224.09460897288588</c:v>
                </c:pt>
                <c:pt idx="12">
                  <c:v>237.27664479482033</c:v>
                </c:pt>
                <c:pt idx="13">
                  <c:v>250.4586806167548</c:v>
                </c:pt>
                <c:pt idx="14">
                  <c:v>263.64071643868925</c:v>
                </c:pt>
                <c:pt idx="15">
                  <c:v>276.82275226062376</c:v>
                </c:pt>
                <c:pt idx="16">
                  <c:v>290.00478808255821</c:v>
                </c:pt>
                <c:pt idx="17">
                  <c:v>303.18682390449266</c:v>
                </c:pt>
                <c:pt idx="18">
                  <c:v>316.3688597264271</c:v>
                </c:pt>
                <c:pt idx="19">
                  <c:v>329.55089554836161</c:v>
                </c:pt>
                <c:pt idx="20">
                  <c:v>342.73293137029606</c:v>
                </c:pt>
                <c:pt idx="21">
                  <c:v>355.91496719223051</c:v>
                </c:pt>
                <c:pt idx="22">
                  <c:v>369.09700301416495</c:v>
                </c:pt>
                <c:pt idx="23">
                  <c:v>382.27903883609946</c:v>
                </c:pt>
                <c:pt idx="24">
                  <c:v>395.46107465803391</c:v>
                </c:pt>
                <c:pt idx="25">
                  <c:v>408.64311047996836</c:v>
                </c:pt>
                <c:pt idx="26">
                  <c:v>421.82514630190281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B1-4CB5-AA16-CB0C3D5F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9708015"/>
        <c:axId val="1"/>
      </c:lineChart>
      <c:catAx>
        <c:axId val="2297080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5394748459789804"/>
              <c:y val="0.915360706094703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(MW)</a:t>
                </a:r>
              </a:p>
            </c:rich>
          </c:tx>
          <c:layout>
            <c:manualLayout>
              <c:xMode val="edge"/>
              <c:yMode val="edge"/>
              <c:x val="3.1579086087042463E-2"/>
              <c:y val="0.3855798703395514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708015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2025 CenterPoint Energy Distribution Loss Factor (%)
For Secondary Distribution Customers "D"</a:t>
            </a:r>
          </a:p>
        </c:rich>
      </c:tx>
      <c:layout>
        <c:manualLayout>
          <c:xMode val="edge"/>
          <c:yMode val="edge"/>
          <c:x val="0.25849624791956627"/>
          <c:y val="2.64995505698773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628218331616883E-2"/>
          <c:y val="0.13110199167264819"/>
          <c:w val="0.84552008238928944"/>
          <c:h val="0.7642967174107574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3799.047967777371</c:v>
                </c:pt>
                <c:pt idx="1">
                  <c:v>4432.2226290735998</c:v>
                </c:pt>
                <c:pt idx="2">
                  <c:v>5065.3972903698277</c:v>
                </c:pt>
                <c:pt idx="3">
                  <c:v>5698.5719516660565</c:v>
                </c:pt>
                <c:pt idx="4">
                  <c:v>6331.7466129622853</c:v>
                </c:pt>
                <c:pt idx="5">
                  <c:v>6964.9212742585132</c:v>
                </c:pt>
                <c:pt idx="6">
                  <c:v>7598.095935554742</c:v>
                </c:pt>
                <c:pt idx="7">
                  <c:v>8231.2705968509708</c:v>
                </c:pt>
                <c:pt idx="8">
                  <c:v>8864.4452581471996</c:v>
                </c:pt>
                <c:pt idx="9">
                  <c:v>9497.6199194434266</c:v>
                </c:pt>
                <c:pt idx="10">
                  <c:v>10130.794580739655</c:v>
                </c:pt>
                <c:pt idx="11">
                  <c:v>10763.969242035884</c:v>
                </c:pt>
                <c:pt idx="12">
                  <c:v>11397.143903332113</c:v>
                </c:pt>
                <c:pt idx="13">
                  <c:v>12030.318564628342</c:v>
                </c:pt>
                <c:pt idx="14">
                  <c:v>12663.493225924571</c:v>
                </c:pt>
                <c:pt idx="15">
                  <c:v>13296.667887220798</c:v>
                </c:pt>
                <c:pt idx="16">
                  <c:v>13929.842548517026</c:v>
                </c:pt>
                <c:pt idx="17">
                  <c:v>14563.017209813255</c:v>
                </c:pt>
                <c:pt idx="18">
                  <c:v>15196.191871109484</c:v>
                </c:pt>
                <c:pt idx="19">
                  <c:v>15829.366532405713</c:v>
                </c:pt>
                <c:pt idx="20">
                  <c:v>16462.541193701942</c:v>
                </c:pt>
                <c:pt idx="21">
                  <c:v>17095.715854998169</c:v>
                </c:pt>
                <c:pt idx="22">
                  <c:v>17728.890516294399</c:v>
                </c:pt>
                <c:pt idx="23">
                  <c:v>18362.065177590626</c:v>
                </c:pt>
                <c:pt idx="24">
                  <c:v>18995.239838886853</c:v>
                </c:pt>
                <c:pt idx="25">
                  <c:v>19628.414500183084</c:v>
                </c:pt>
                <c:pt idx="26">
                  <c:v>20261.589161479311</c:v>
                </c:pt>
                <c:pt idx="27">
                  <c:v>20894.763822775541</c:v>
                </c:pt>
                <c:pt idx="28">
                  <c:v>21527.938484071768</c:v>
                </c:pt>
                <c:pt idx="29">
                  <c:v>22161.113145367995</c:v>
                </c:pt>
                <c:pt idx="30">
                  <c:v>22794.287806664226</c:v>
                </c:pt>
                <c:pt idx="31">
                  <c:v>23427.462467960453</c:v>
                </c:pt>
                <c:pt idx="32">
                  <c:v>24060.637129256684</c:v>
                </c:pt>
                <c:pt idx="33">
                  <c:v>24693.811790552911</c:v>
                </c:pt>
                <c:pt idx="34">
                  <c:v>25326.986451849141</c:v>
                </c:pt>
                <c:pt idx="35">
                  <c:v>25960.161113145368</c:v>
                </c:pt>
                <c:pt idx="36">
                  <c:v>26593.335774441595</c:v>
                </c:pt>
                <c:pt idx="37">
                  <c:v>27226.510435737826</c:v>
                </c:pt>
                <c:pt idx="38">
                  <c:v>27859.685097034053</c:v>
                </c:pt>
                <c:pt idx="39">
                  <c:v>28492.859758330284</c:v>
                </c:pt>
                <c:pt idx="40">
                  <c:v>29126.03441962651</c:v>
                </c:pt>
                <c:pt idx="41">
                  <c:v>29759.209080922737</c:v>
                </c:pt>
              </c:numCache>
            </c:numRef>
          </c:cat>
          <c:val>
            <c:numRef>
              <c:f>'2) Loss Analysis'!$Q$11:$Q$52</c:f>
              <c:numCache>
                <c:formatCode>0.000%</c:formatCode>
                <c:ptCount val="42"/>
                <c:pt idx="0">
                  <c:v>8.4394775361025451E-2</c:v>
                </c:pt>
                <c:pt idx="1">
                  <c:v>7.3789111123435863E-2</c:v>
                </c:pt>
                <c:pt idx="2">
                  <c:v>6.6032806704757141E-2</c:v>
                </c:pt>
                <c:pt idx="3">
                  <c:v>6.0175820643701118E-2</c:v>
                </c:pt>
                <c:pt idx="4">
                  <c:v>5.5648128473015868E-2</c:v>
                </c:pt>
                <c:pt idx="5">
                  <c:v>5.2086987721539954E-2</c:v>
                </c:pt>
                <c:pt idx="6">
                  <c:v>4.9250570415230809E-2</c:v>
                </c:pt>
                <c:pt idx="7">
                  <c:v>4.6971457500796301E-2</c:v>
                </c:pt>
                <c:pt idx="8">
                  <c:v>4.5130064230628063E-2</c:v>
                </c:pt>
                <c:pt idx="9">
                  <c:v>4.3638695393762389E-2</c:v>
                </c:pt>
                <c:pt idx="10">
                  <c:v>4.243157983523161E-2</c:v>
                </c:pt>
                <c:pt idx="11">
                  <c:v>4.1458422203880421E-2</c:v>
                </c:pt>
                <c:pt idx="12">
                  <c:v>4.0680104117577588E-2</c:v>
                </c:pt>
                <c:pt idx="13">
                  <c:v>4.0065742855203527E-2</c:v>
                </c:pt>
                <c:pt idx="14">
                  <c:v>3.9847299107708983E-2</c:v>
                </c:pt>
                <c:pt idx="15">
                  <c:v>3.9748106324109883E-2</c:v>
                </c:pt>
                <c:pt idx="16">
                  <c:v>3.9751801144938814E-2</c:v>
                </c:pt>
                <c:pt idx="17">
                  <c:v>3.9844866186390888E-2</c:v>
                </c:pt>
                <c:pt idx="18">
                  <c:v>4.0016037128433518E-2</c:v>
                </c:pt>
                <c:pt idx="19">
                  <c:v>4.0255852101770684E-2</c:v>
                </c:pt>
                <c:pt idx="20">
                  <c:v>4.0556305062430978E-2</c:v>
                </c:pt>
                <c:pt idx="21">
                  <c:v>4.0910576194225716E-2</c:v>
                </c:pt>
                <c:pt idx="22">
                  <c:v>4.1312820082109257E-2</c:v>
                </c:pt>
                <c:pt idx="23">
                  <c:v>4.1757997711741025E-2</c:v>
                </c:pt>
                <c:pt idx="24">
                  <c:v>4.224174206913564E-2</c:v>
                </c:pt>
                <c:pt idx="25">
                  <c:v>4.2760249753284407E-2</c:v>
                </c:pt>
                <c:pt idx="26">
                  <c:v>4.3310192911410576E-2</c:v>
                </c:pt>
                <c:pt idx="27">
                  <c:v>4.3888647185996915E-2</c:v>
                </c:pt>
                <c:pt idx="28">
                  <c:v>4.449303237704396E-2</c:v>
                </c:pt>
                <c:pt idx="29">
                  <c:v>4.5121063276513003E-2</c:v>
                </c:pt>
                <c:pt idx="30">
                  <c:v>4.5770708697028886E-2</c:v>
                </c:pt>
                <c:pt idx="31">
                  <c:v>4.6440157144577346E-2</c:v>
                </c:pt>
                <c:pt idx="32">
                  <c:v>4.7127787911303072E-2</c:v>
                </c:pt>
                <c:pt idx="33">
                  <c:v>4.783214661556992E-2</c:v>
                </c:pt>
                <c:pt idx="34">
                  <c:v>4.8551924411012422E-2</c:v>
                </c:pt>
                <c:pt idx="35">
                  <c:v>4.9285940238165446E-2</c:v>
                </c:pt>
                <c:pt idx="36">
                  <c:v>5.0033125611575649E-2</c:v>
                </c:pt>
                <c:pt idx="37">
                  <c:v>5.0792511529641753E-2</c:v>
                </c:pt>
                <c:pt idx="38">
                  <c:v>5.1563217169477066E-2</c:v>
                </c:pt>
                <c:pt idx="39">
                  <c:v>5.2344440089123791E-2</c:v>
                </c:pt>
                <c:pt idx="40">
                  <c:v>5.313544770773973E-2</c:v>
                </c:pt>
                <c:pt idx="41">
                  <c:v>5.3935569873420956E-2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5-4AB8-9A7B-7D2B54976BE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3799.047967777371</c:v>
                </c:pt>
                <c:pt idx="1">
                  <c:v>4432.2226290735998</c:v>
                </c:pt>
                <c:pt idx="2">
                  <c:v>5065.3972903698277</c:v>
                </c:pt>
                <c:pt idx="3">
                  <c:v>5698.5719516660565</c:v>
                </c:pt>
                <c:pt idx="4">
                  <c:v>6331.7466129622853</c:v>
                </c:pt>
                <c:pt idx="5">
                  <c:v>6964.9212742585132</c:v>
                </c:pt>
                <c:pt idx="6">
                  <c:v>7598.095935554742</c:v>
                </c:pt>
                <c:pt idx="7">
                  <c:v>8231.2705968509708</c:v>
                </c:pt>
                <c:pt idx="8">
                  <c:v>8864.4452581471996</c:v>
                </c:pt>
                <c:pt idx="9">
                  <c:v>9497.6199194434266</c:v>
                </c:pt>
                <c:pt idx="10">
                  <c:v>10130.794580739655</c:v>
                </c:pt>
                <c:pt idx="11">
                  <c:v>10763.969242035884</c:v>
                </c:pt>
                <c:pt idx="12">
                  <c:v>11397.143903332113</c:v>
                </c:pt>
                <c:pt idx="13">
                  <c:v>12030.318564628342</c:v>
                </c:pt>
                <c:pt idx="14">
                  <c:v>12663.493225924571</c:v>
                </c:pt>
                <c:pt idx="15">
                  <c:v>13296.667887220798</c:v>
                </c:pt>
                <c:pt idx="16">
                  <c:v>13929.842548517026</c:v>
                </c:pt>
                <c:pt idx="17">
                  <c:v>14563.017209813255</c:v>
                </c:pt>
                <c:pt idx="18">
                  <c:v>15196.191871109484</c:v>
                </c:pt>
                <c:pt idx="19">
                  <c:v>15829.366532405713</c:v>
                </c:pt>
                <c:pt idx="20">
                  <c:v>16462.541193701942</c:v>
                </c:pt>
                <c:pt idx="21">
                  <c:v>17095.715854998169</c:v>
                </c:pt>
                <c:pt idx="22">
                  <c:v>17728.890516294399</c:v>
                </c:pt>
                <c:pt idx="23">
                  <c:v>18362.065177590626</c:v>
                </c:pt>
                <c:pt idx="24">
                  <c:v>18995.239838886853</c:v>
                </c:pt>
                <c:pt idx="25">
                  <c:v>19628.414500183084</c:v>
                </c:pt>
                <c:pt idx="26">
                  <c:v>20261.589161479311</c:v>
                </c:pt>
                <c:pt idx="27">
                  <c:v>20894.763822775541</c:v>
                </c:pt>
                <c:pt idx="28">
                  <c:v>21527.938484071768</c:v>
                </c:pt>
                <c:pt idx="29">
                  <c:v>22161.113145367995</c:v>
                </c:pt>
                <c:pt idx="30">
                  <c:v>22794.287806664226</c:v>
                </c:pt>
                <c:pt idx="31">
                  <c:v>23427.462467960453</c:v>
                </c:pt>
                <c:pt idx="32">
                  <c:v>24060.637129256684</c:v>
                </c:pt>
                <c:pt idx="33">
                  <c:v>24693.811790552911</c:v>
                </c:pt>
                <c:pt idx="34">
                  <c:v>25326.986451849141</c:v>
                </c:pt>
                <c:pt idx="35">
                  <c:v>25960.161113145368</c:v>
                </c:pt>
                <c:pt idx="36">
                  <c:v>26593.335774441595</c:v>
                </c:pt>
                <c:pt idx="37">
                  <c:v>27226.510435737826</c:v>
                </c:pt>
                <c:pt idx="38">
                  <c:v>27859.685097034053</c:v>
                </c:pt>
                <c:pt idx="39">
                  <c:v>28492.859758330284</c:v>
                </c:pt>
                <c:pt idx="40">
                  <c:v>29126.03441962651</c:v>
                </c:pt>
                <c:pt idx="41">
                  <c:v>29759.209080922737</c:v>
                </c:pt>
              </c:numCache>
            </c:numRef>
          </c:cat>
          <c:val>
            <c:numRef>
              <c:f>'2) Loss Analysis'!$R$11:$R$52</c:f>
              <c:numCache>
                <c:formatCode>0.000%</c:formatCode>
                <c:ptCount val="42"/>
                <c:pt idx="0">
                  <c:v>7.8825489884657637E-2</c:v>
                </c:pt>
                <c:pt idx="1">
                  <c:v>6.8966735222576764E-2</c:v>
                </c:pt>
                <c:pt idx="2">
                  <c:v>6.1826788596210186E-2</c:v>
                </c:pt>
                <c:pt idx="3">
                  <c:v>5.6499380660319787E-2</c:v>
                </c:pt>
                <c:pt idx="4">
                  <c:v>5.2440749807762727E-2</c:v>
                </c:pt>
                <c:pt idx="5">
                  <c:v>4.9304865924902644E-2</c:v>
                </c:pt>
                <c:pt idx="6">
                  <c:v>4.686104226931527E-2</c:v>
                </c:pt>
                <c:pt idx="7">
                  <c:v>4.4949572634706926E-2</c:v>
                </c:pt>
                <c:pt idx="8">
                  <c:v>4.3456381159439249E-2</c:v>
                </c:pt>
                <c:pt idx="9">
                  <c:v>4.2297812211644095E-2</c:v>
                </c:pt>
                <c:pt idx="10">
                  <c:v>4.1411124067420368E-2</c:v>
                </c:pt>
                <c:pt idx="11">
                  <c:v>4.0748337761431927E-2</c:v>
                </c:pt>
                <c:pt idx="12">
                  <c:v>4.027213632063957E-2</c:v>
                </c:pt>
                <c:pt idx="13">
                  <c:v>3.9953058976854444E-2</c:v>
                </c:pt>
                <c:pt idx="14">
                  <c:v>3.9767537115525456E-2</c:v>
                </c:pt>
                <c:pt idx="15">
                  <c:v>3.969649138201601E-2</c:v>
                </c:pt>
                <c:pt idx="16">
                  <c:v>3.9724311395259816E-2</c:v>
                </c:pt>
                <c:pt idx="17">
                  <c:v>3.9838101623071664E-2</c:v>
                </c:pt>
                <c:pt idx="18">
                  <c:v>4.0027115788630538E-2</c:v>
                </c:pt>
                <c:pt idx="19">
                  <c:v>4.0282327019406816E-2</c:v>
                </c:pt>
                <c:pt idx="20">
                  <c:v>4.0596097192490785E-2</c:v>
                </c:pt>
                <c:pt idx="21">
                  <c:v>4.0961919758737142E-2</c:v>
                </c:pt>
                <c:pt idx="22">
                  <c:v>4.1374217676021348E-2</c:v>
                </c:pt>
                <c:pt idx="23">
                  <c:v>4.1828183149408456E-2</c:v>
                </c:pt>
                <c:pt idx="24">
                  <c:v>4.2319649423288176E-2</c:v>
                </c:pt>
                <c:pt idx="25">
                  <c:v>4.2844987387935414E-2</c:v>
                </c:pt>
                <c:pt idx="26">
                  <c:v>4.3401021572340721E-2</c:v>
                </c:pt>
                <c:pt idx="27">
                  <c:v>4.3984961411071541E-2</c:v>
                </c:pt>
                <c:pt idx="28">
                  <c:v>4.4594344640510909E-2</c:v>
                </c:pt>
                <c:pt idx="29">
                  <c:v>4.5226990398598108E-2</c:v>
                </c:pt>
                <c:pt idx="30">
                  <c:v>4.5880960141279147E-2</c:v>
                </c:pt>
                <c:pt idx="31">
                  <c:v>4.6554524896830193E-2</c:v>
                </c:pt>
                <c:pt idx="32">
                  <c:v>4.7246137690550985E-2</c:v>
                </c:pt>
                <c:pt idx="33">
                  <c:v>4.7954410211813084E-2</c:v>
                </c:pt>
                <c:pt idx="34">
                  <c:v>4.8678092981050906E-2</c:v>
                </c:pt>
                <c:pt idx="35">
                  <c:v>4.9416058419144253E-2</c:v>
                </c:pt>
                <c:pt idx="36">
                  <c:v>5.0167286335460581E-2</c:v>
                </c:pt>
                <c:pt idx="37">
                  <c:v>5.0930851440821587E-2</c:v>
                </c:pt>
                <c:pt idx="38">
                  <c:v>5.17059125632469E-2</c:v>
                </c:pt>
                <c:pt idx="39">
                  <c:v>5.2491703301598927E-2</c:v>
                </c:pt>
                <c:pt idx="40">
                  <c:v>5.3287523898317236E-2</c:v>
                </c:pt>
                <c:pt idx="41">
                  <c:v>5.4092734149676296E-2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35-4AB8-9A7B-7D2B54976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8661055"/>
        <c:axId val="1"/>
      </c:lineChart>
      <c:catAx>
        <c:axId val="2286610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CNP Load MWH's 15 Mins - Coincident</a:t>
                </a:r>
              </a:p>
            </c:rich>
          </c:tx>
          <c:layout>
            <c:manualLayout>
              <c:xMode val="edge"/>
              <c:yMode val="edge"/>
              <c:x val="0.37693108046290258"/>
              <c:y val="0.945608168841908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7.0000000000000007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1.544815705206194E-2"/>
              <c:y val="0.43793650451227845"/>
            </c:manualLayout>
          </c:layout>
          <c:overlay val="0"/>
          <c:spPr>
            <a:noFill/>
            <a:ln w="25400">
              <a:noFill/>
            </a:ln>
          </c:spPr>
        </c:title>
        <c:numFmt formatCode="0.0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661055"/>
        <c:crosses val="autoZero"/>
        <c:crossBetween val="between"/>
        <c:majorUnit val="0.01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25" l="0.25" r="0.25" t="0.25" header="0" footer="0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2025 CenterPoint Energy Distribution Loss Factor (%)
For Primary Distribution Customers "E"</a:t>
            </a:r>
          </a:p>
        </c:rich>
      </c:tx>
      <c:layout>
        <c:manualLayout>
          <c:xMode val="edge"/>
          <c:yMode val="edge"/>
          <c:x val="0.26255205599300085"/>
          <c:y val="2.84909425614529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85177871249014E-2"/>
          <c:y val="0.14385474860335196"/>
          <c:w val="0.85397868475685734"/>
          <c:h val="0.7513966480446927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3799.047967777371</c:v>
                </c:pt>
                <c:pt idx="1">
                  <c:v>4432.2226290735998</c:v>
                </c:pt>
                <c:pt idx="2">
                  <c:v>5065.3972903698277</c:v>
                </c:pt>
                <c:pt idx="3">
                  <c:v>5698.5719516660565</c:v>
                </c:pt>
                <c:pt idx="4">
                  <c:v>6331.7466129622853</c:v>
                </c:pt>
                <c:pt idx="5">
                  <c:v>6964.9212742585132</c:v>
                </c:pt>
                <c:pt idx="6">
                  <c:v>7598.095935554742</c:v>
                </c:pt>
                <c:pt idx="7">
                  <c:v>8231.2705968509708</c:v>
                </c:pt>
                <c:pt idx="8">
                  <c:v>8864.4452581471996</c:v>
                </c:pt>
                <c:pt idx="9">
                  <c:v>9497.6199194434266</c:v>
                </c:pt>
                <c:pt idx="10">
                  <c:v>10130.794580739655</c:v>
                </c:pt>
                <c:pt idx="11">
                  <c:v>10763.969242035884</c:v>
                </c:pt>
                <c:pt idx="12">
                  <c:v>11397.143903332113</c:v>
                </c:pt>
                <c:pt idx="13">
                  <c:v>12030.318564628342</c:v>
                </c:pt>
                <c:pt idx="14">
                  <c:v>12663.493225924571</c:v>
                </c:pt>
                <c:pt idx="15">
                  <c:v>13296.667887220798</c:v>
                </c:pt>
                <c:pt idx="16">
                  <c:v>13929.842548517026</c:v>
                </c:pt>
                <c:pt idx="17">
                  <c:v>14563.017209813255</c:v>
                </c:pt>
                <c:pt idx="18">
                  <c:v>15196.191871109484</c:v>
                </c:pt>
                <c:pt idx="19">
                  <c:v>15829.366532405713</c:v>
                </c:pt>
                <c:pt idx="20">
                  <c:v>16462.541193701942</c:v>
                </c:pt>
                <c:pt idx="21">
                  <c:v>17095.715854998169</c:v>
                </c:pt>
                <c:pt idx="22">
                  <c:v>17728.890516294399</c:v>
                </c:pt>
                <c:pt idx="23">
                  <c:v>18362.065177590626</c:v>
                </c:pt>
                <c:pt idx="24">
                  <c:v>18995.239838886853</c:v>
                </c:pt>
                <c:pt idx="25">
                  <c:v>19628.414500183084</c:v>
                </c:pt>
                <c:pt idx="26">
                  <c:v>20261.589161479311</c:v>
                </c:pt>
                <c:pt idx="27">
                  <c:v>20894.763822775541</c:v>
                </c:pt>
                <c:pt idx="28">
                  <c:v>21527.938484071768</c:v>
                </c:pt>
                <c:pt idx="29">
                  <c:v>22161.113145367995</c:v>
                </c:pt>
                <c:pt idx="30">
                  <c:v>22794.287806664226</c:v>
                </c:pt>
                <c:pt idx="31">
                  <c:v>23427.462467960453</c:v>
                </c:pt>
                <c:pt idx="32">
                  <c:v>24060.637129256684</c:v>
                </c:pt>
                <c:pt idx="33">
                  <c:v>24693.811790552911</c:v>
                </c:pt>
                <c:pt idx="34">
                  <c:v>25326.986451849141</c:v>
                </c:pt>
                <c:pt idx="35">
                  <c:v>25960.161113145368</c:v>
                </c:pt>
                <c:pt idx="36">
                  <c:v>26593.335774441595</c:v>
                </c:pt>
                <c:pt idx="37">
                  <c:v>27226.510435737826</c:v>
                </c:pt>
                <c:pt idx="38">
                  <c:v>27859.685097034053</c:v>
                </c:pt>
                <c:pt idx="39">
                  <c:v>28492.859758330284</c:v>
                </c:pt>
                <c:pt idx="40">
                  <c:v>29126.03441962651</c:v>
                </c:pt>
                <c:pt idx="41">
                  <c:v>29759.209080922737</c:v>
                </c:pt>
              </c:numCache>
            </c:numRef>
          </c:cat>
          <c:val>
            <c:numRef>
              <c:f>'2) Loss Analysis'!$U$11:$U$44</c:f>
              <c:numCache>
                <c:formatCode>0.000%</c:formatCode>
                <c:ptCount val="34"/>
                <c:pt idx="0">
                  <c:v>1.1106486776159871E-2</c:v>
                </c:pt>
                <c:pt idx="1">
                  <c:v>1.0464463252941258E-2</c:v>
                </c:pt>
                <c:pt idx="2">
                  <c:v>1.0110809903966763E-2</c:v>
                </c:pt>
                <c:pt idx="3">
                  <c:v>9.9493688602864377E-3</c:v>
                </c:pt>
                <c:pt idx="4">
                  <c:v>9.9224454040573885E-3</c:v>
                </c:pt>
                <c:pt idx="5">
                  <c:v>9.993324718040552E-3</c:v>
                </c:pt>
                <c:pt idx="6">
                  <c:v>1.0137530260349125E-2</c:v>
                </c:pt>
                <c:pt idx="7">
                  <c:v>1.0338116735466904E-2</c:v>
                </c:pt>
                <c:pt idx="8">
                  <c:v>1.058298036340165E-2</c:v>
                </c:pt>
                <c:pt idx="9">
                  <c:v>1.0863245041177102E-2</c:v>
                </c:pt>
                <c:pt idx="10">
                  <c:v>1.1172253693765481E-2</c:v>
                </c:pt>
                <c:pt idx="11">
                  <c:v>1.150491561880853E-2</c:v>
                </c:pt>
                <c:pt idx="12">
                  <c:v>1.1857271383098191E-2</c:v>
                </c:pt>
                <c:pt idx="13">
                  <c:v>1.2226195120168674E-2</c:v>
                </c:pt>
                <c:pt idx="14">
                  <c:v>1.2896519471944212E-2</c:v>
                </c:pt>
                <c:pt idx="15">
                  <c:v>1.3578886737535078E-2</c:v>
                </c:pt>
                <c:pt idx="16">
                  <c:v>1.4271640617816548E-2</c:v>
                </c:pt>
                <c:pt idx="17">
                  <c:v>1.4973412867219085E-2</c:v>
                </c:pt>
                <c:pt idx="18">
                  <c:v>1.5683063282571023E-2</c:v>
                </c:pt>
                <c:pt idx="19">
                  <c:v>1.6399634094618979E-2</c:v>
                </c:pt>
                <c:pt idx="20">
                  <c:v>1.712231488458206E-2</c:v>
                </c:pt>
                <c:pt idx="21">
                  <c:v>1.7850415297027297E-2</c:v>
                </c:pt>
                <c:pt idx="22">
                  <c:v>1.8583343599986091E-2</c:v>
                </c:pt>
                <c:pt idx="23">
                  <c:v>1.9320589680908665E-2</c:v>
                </c:pt>
                <c:pt idx="24">
                  <c:v>2.0061711443427541E-2</c:v>
                </c:pt>
                <c:pt idx="25">
                  <c:v>2.0806323837005595E-2</c:v>
                </c:pt>
                <c:pt idx="26">
                  <c:v>2.1554089943525052E-2</c:v>
                </c:pt>
                <c:pt idx="27">
                  <c:v>2.2304713684496675E-2</c:v>
                </c:pt>
                <c:pt idx="28">
                  <c:v>2.3057933815232037E-2</c:v>
                </c:pt>
                <c:pt idx="29">
                  <c:v>2.3813518948586274E-2</c:v>
                </c:pt>
                <c:pt idx="30">
                  <c:v>2.4571263408077016E-2</c:v>
                </c:pt>
                <c:pt idx="31">
                  <c:v>2.5330983753470558E-2</c:v>
                </c:pt>
                <c:pt idx="32">
                  <c:v>2.6092515854959638E-2</c:v>
                </c:pt>
                <c:pt idx="33">
                  <c:v>2.6855712417467772E-2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4-40EC-812B-06AD5F2839E2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3799.047967777371</c:v>
                </c:pt>
                <c:pt idx="1">
                  <c:v>4432.2226290735998</c:v>
                </c:pt>
                <c:pt idx="2">
                  <c:v>5065.3972903698277</c:v>
                </c:pt>
                <c:pt idx="3">
                  <c:v>5698.5719516660565</c:v>
                </c:pt>
                <c:pt idx="4">
                  <c:v>6331.7466129622853</c:v>
                </c:pt>
                <c:pt idx="5">
                  <c:v>6964.9212742585132</c:v>
                </c:pt>
                <c:pt idx="6">
                  <c:v>7598.095935554742</c:v>
                </c:pt>
                <c:pt idx="7">
                  <c:v>8231.2705968509708</c:v>
                </c:pt>
                <c:pt idx="8">
                  <c:v>8864.4452581471996</c:v>
                </c:pt>
                <c:pt idx="9">
                  <c:v>9497.6199194434266</c:v>
                </c:pt>
                <c:pt idx="10">
                  <c:v>10130.794580739655</c:v>
                </c:pt>
                <c:pt idx="11">
                  <c:v>10763.969242035884</c:v>
                </c:pt>
                <c:pt idx="12">
                  <c:v>11397.143903332113</c:v>
                </c:pt>
                <c:pt idx="13">
                  <c:v>12030.318564628342</c:v>
                </c:pt>
                <c:pt idx="14">
                  <c:v>12663.493225924571</c:v>
                </c:pt>
                <c:pt idx="15">
                  <c:v>13296.667887220798</c:v>
                </c:pt>
                <c:pt idx="16">
                  <c:v>13929.842548517026</c:v>
                </c:pt>
                <c:pt idx="17">
                  <c:v>14563.017209813255</c:v>
                </c:pt>
                <c:pt idx="18">
                  <c:v>15196.191871109484</c:v>
                </c:pt>
                <c:pt idx="19">
                  <c:v>15829.366532405713</c:v>
                </c:pt>
                <c:pt idx="20">
                  <c:v>16462.541193701942</c:v>
                </c:pt>
                <c:pt idx="21">
                  <c:v>17095.715854998169</c:v>
                </c:pt>
                <c:pt idx="22">
                  <c:v>17728.890516294399</c:v>
                </c:pt>
                <c:pt idx="23">
                  <c:v>18362.065177590626</c:v>
                </c:pt>
                <c:pt idx="24">
                  <c:v>18995.239838886853</c:v>
                </c:pt>
                <c:pt idx="25">
                  <c:v>19628.414500183084</c:v>
                </c:pt>
                <c:pt idx="26">
                  <c:v>20261.589161479311</c:v>
                </c:pt>
                <c:pt idx="27">
                  <c:v>20894.763822775541</c:v>
                </c:pt>
                <c:pt idx="28">
                  <c:v>21527.938484071768</c:v>
                </c:pt>
                <c:pt idx="29">
                  <c:v>22161.113145367995</c:v>
                </c:pt>
                <c:pt idx="30">
                  <c:v>22794.287806664226</c:v>
                </c:pt>
                <c:pt idx="31">
                  <c:v>23427.462467960453</c:v>
                </c:pt>
                <c:pt idx="32">
                  <c:v>24060.637129256684</c:v>
                </c:pt>
                <c:pt idx="33">
                  <c:v>24693.811790552911</c:v>
                </c:pt>
                <c:pt idx="34">
                  <c:v>25326.986451849141</c:v>
                </c:pt>
                <c:pt idx="35">
                  <c:v>25960.161113145368</c:v>
                </c:pt>
                <c:pt idx="36">
                  <c:v>26593.335774441595</c:v>
                </c:pt>
                <c:pt idx="37">
                  <c:v>27226.510435737826</c:v>
                </c:pt>
                <c:pt idx="38">
                  <c:v>27859.685097034053</c:v>
                </c:pt>
                <c:pt idx="39">
                  <c:v>28492.859758330284</c:v>
                </c:pt>
                <c:pt idx="40">
                  <c:v>29126.03441962651</c:v>
                </c:pt>
                <c:pt idx="41">
                  <c:v>29759.209080922737</c:v>
                </c:pt>
              </c:numCache>
            </c:numRef>
          </c:cat>
          <c:val>
            <c:numRef>
              <c:f>'2) Loss Analysis'!$S$11:$S$44</c:f>
              <c:numCache>
                <c:formatCode>0.000%</c:formatCode>
                <c:ptCount val="34"/>
                <c:pt idx="0">
                  <c:v>1.0881498924386668E-2</c:v>
                </c:pt>
                <c:pt idx="1">
                  <c:v>9.7505359474987334E-3</c:v>
                </c:pt>
                <c:pt idx="2">
                  <c:v>9.1133475241822262E-3</c:v>
                </c:pt>
                <c:pt idx="3">
                  <c:v>8.8053421365800067E-3</c:v>
                </c:pt>
                <c:pt idx="4">
                  <c:v>8.7277648739777832E-3</c:v>
                </c:pt>
                <c:pt idx="5">
                  <c:v>8.8177717022846526E-3</c:v>
                </c:pt>
                <c:pt idx="6">
                  <c:v>9.0334665987733404E-3</c:v>
                </c:pt>
                <c:pt idx="7">
                  <c:v>9.3458446246326606E-3</c:v>
                </c:pt>
                <c:pt idx="8">
                  <c:v>9.7341879664260417E-3</c:v>
                </c:pt>
                <c:pt idx="9">
                  <c:v>1.0183303560966677E-2</c:v>
                </c:pt>
                <c:pt idx="10">
                  <c:v>1.0681796610864455E-2</c:v>
                </c:pt>
                <c:pt idx="11">
                  <c:v>1.1220953447526941E-2</c:v>
                </c:pt>
                <c:pt idx="12">
                  <c:v>1.1793996773160014E-2</c:v>
                </c:pt>
                <c:pt idx="13">
                  <c:v>1.239557608950516E-2</c:v>
                </c:pt>
                <c:pt idx="14">
                  <c:v>1.3021410997955569E-2</c:v>
                </c:pt>
                <c:pt idx="15">
                  <c:v>1.3668036413924776E-2</c:v>
                </c:pt>
                <c:pt idx="16">
                  <c:v>1.4332617268205672E-2</c:v>
                </c:pt>
                <c:pt idx="17">
                  <c:v>1.5012811547105428E-2</c:v>
                </c:pt>
                <c:pt idx="18">
                  <c:v>1.5706667572546684E-2</c:v>
                </c:pt>
                <c:pt idx="19">
                  <c:v>1.6412545934944466E-2</c:v>
                </c:pt>
                <c:pt idx="20">
                  <c:v>1.7129059441573013E-2</c:v>
                </c:pt>
                <c:pt idx="21">
                  <c:v>1.7855026409740019E-2</c:v>
                </c:pt>
                <c:pt idx="22">
                  <c:v>1.8589433968566368E-2</c:v>
                </c:pt>
                <c:pt idx="23">
                  <c:v>1.9331408953501092E-2</c:v>
                </c:pt>
                <c:pt idx="24">
                  <c:v>2.0080194621933355E-2</c:v>
                </c:pt>
                <c:pt idx="25">
                  <c:v>2.0835131875460169E-2</c:v>
                </c:pt>
                <c:pt idx="26">
                  <c:v>2.1595644002978909E-2</c:v>
                </c:pt>
                <c:pt idx="27">
                  <c:v>2.2361224197763058E-2</c:v>
                </c:pt>
                <c:pt idx="28">
                  <c:v>2.3131425277406824E-2</c:v>
                </c:pt>
                <c:pt idx="29">
                  <c:v>2.3905851166065108E-2</c:v>
                </c:pt>
                <c:pt idx="30">
                  <c:v>2.4684149796320026E-2</c:v>
                </c:pt>
                <c:pt idx="31">
                  <c:v>2.5466007162096183E-2</c:v>
                </c:pt>
                <c:pt idx="32">
                  <c:v>2.6251142310589268E-2</c:v>
                </c:pt>
                <c:pt idx="33">
                  <c:v>2.7039303104667206E-2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24-40EC-812B-06AD5F283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9712335"/>
        <c:axId val="1"/>
      </c:lineChart>
      <c:catAx>
        <c:axId val="2297123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CNP Load MWH's 15 Mins - Coincident</a:t>
                </a:r>
              </a:p>
            </c:rich>
          </c:tx>
          <c:layout>
            <c:manualLayout>
              <c:xMode val="edge"/>
              <c:yMode val="edge"/>
              <c:x val="0.36153115582774376"/>
              <c:y val="0.94553083860588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1.6112763682317486E-2"/>
              <c:y val="0.44413409031140261"/>
            </c:manualLayout>
          </c:layout>
          <c:overlay val="0"/>
          <c:spPr>
            <a:noFill/>
            <a:ln w="25400">
              <a:noFill/>
            </a:ln>
          </c:spPr>
        </c:title>
        <c:numFmt formatCode="0.0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712335"/>
        <c:crosses val="autoZero"/>
        <c:crossBetween val="between"/>
        <c:majorUnit val="5.0000000000000001E-3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25" l="0.25" r="0.25" t="0.25" header="0" footer="0"/>
    <c:pageSetup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System Losses (%) - 2001 Modified</a:t>
            </a:r>
          </a:p>
        </c:rich>
      </c:tx>
      <c:layout>
        <c:manualLayout>
          <c:xMode val="edge"/>
          <c:yMode val="edge"/>
          <c:x val="0.13851781806719887"/>
          <c:y val="2.715632410900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08756555164839"/>
          <c:y val="0.15335463258785942"/>
          <c:w val="0.79951444761593427"/>
          <c:h val="0.62140575079872207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Mod'!$M$5:$M$31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36-4F0F-AA31-F3AC4BDBE095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Mod'!$N$5:$N$31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36-4F0F-AA31-F3AC4BDBE095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lgDash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Mod'!$P$5:$P$31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36-4F0F-AA31-F3AC4BDBE095}"/>
            </c:ext>
          </c:extLst>
        </c:ser>
        <c:ser>
          <c:idx val="3"/>
          <c:order val="3"/>
          <c:spPr>
            <a:ln w="12700">
              <a:solidFill>
                <a:srgbClr val="993366"/>
              </a:solidFill>
              <a:prstDash val="lgDashDotDot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Mod'!$R$5:$R$31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36-4F0F-AA31-F3AC4BDBE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006191"/>
        <c:axId val="1"/>
      </c:lineChart>
      <c:catAx>
        <c:axId val="2300061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5966006558648989"/>
              <c:y val="0.845047809538277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4.374243057954938E-2"/>
              <c:y val="0.38019157573149021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0006191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System Losses (MW)</a:t>
            </a:r>
          </a:p>
        </c:rich>
      </c:tx>
      <c:layout>
        <c:manualLayout>
          <c:xMode val="edge"/>
          <c:yMode val="edge"/>
          <c:x val="0.25183034276849225"/>
          <c:y val="2.8213153166579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48462664714495"/>
          <c:y val="0.13009404388714735"/>
          <c:w val="0.7847730600292826"/>
          <c:h val="0.647335423197492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1995'!$J$5:$J$31</c:f>
              <c:numCache>
                <c:formatCode>0.00</c:formatCode>
                <c:ptCount val="27"/>
                <c:pt idx="0">
                  <c:v>127.87605706766348</c:v>
                </c:pt>
                <c:pt idx="1">
                  <c:v>132.78506323493215</c:v>
                </c:pt>
                <c:pt idx="2">
                  <c:v>138.45303234565989</c:v>
                </c:pt>
                <c:pt idx="3">
                  <c:v>144.87843977193739</c:v>
                </c:pt>
                <c:pt idx="4">
                  <c:v>152.05976436596734</c:v>
                </c:pt>
                <c:pt idx="5">
                  <c:v>159.99548845155573</c:v>
                </c:pt>
                <c:pt idx="6">
                  <c:v>168.68409781562573</c:v>
                </c:pt>
                <c:pt idx="7">
                  <c:v>178.12408169975203</c:v>
                </c:pt>
                <c:pt idx="8">
                  <c:v>188.31393279171763</c:v>
                </c:pt>
                <c:pt idx="9">
                  <c:v>199.2521472170919</c:v>
                </c:pt>
                <c:pt idx="10">
                  <c:v>210.93722453082995</c:v>
                </c:pt>
                <c:pt idx="11">
                  <c:v>223.36766770889375</c:v>
                </c:pt>
                <c:pt idx="12">
                  <c:v>236.54198313989414</c:v>
                </c:pt>
                <c:pt idx="13">
                  <c:v>250.4586806167548</c:v>
                </c:pt>
                <c:pt idx="14">
                  <c:v>265.11627332839669</c:v>
                </c:pt>
                <c:pt idx="15">
                  <c:v>280.51327785144429</c:v>
                </c:pt>
                <c:pt idx="16">
                  <c:v>296.64821414195268</c:v>
                </c:pt>
                <c:pt idx="17">
                  <c:v>313.51960552715622</c:v>
                </c:pt>
                <c:pt idx="18">
                  <c:v>331.12597869723686</c:v>
                </c:pt>
                <c:pt idx="19">
                  <c:v>349.46586369711559</c:v>
                </c:pt>
                <c:pt idx="20">
                  <c:v>368.53779391826288</c:v>
                </c:pt>
                <c:pt idx="21">
                  <c:v>388.34030609053053</c:v>
                </c:pt>
                <c:pt idx="22">
                  <c:v>408.87194027400517</c:v>
                </c:pt>
                <c:pt idx="23">
                  <c:v>430.13123985088197</c:v>
                </c:pt>
                <c:pt idx="24">
                  <c:v>452.11675151735767</c:v>
                </c:pt>
                <c:pt idx="25">
                  <c:v>474.8270252755475</c:v>
                </c:pt>
                <c:pt idx="26">
                  <c:v>498.26061442541891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58-40D5-AC05-1BE29D5DD4BE}"/>
            </c:ext>
          </c:extLst>
        </c:ser>
        <c:ser>
          <c:idx val="1"/>
          <c:order val="1"/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1995'!$K$5:$K$31</c:f>
              <c:numCache>
                <c:formatCode>0.00</c:formatCode>
                <c:ptCount val="27"/>
                <c:pt idx="0">
                  <c:v>79.092214931606776</c:v>
                </c:pt>
                <c:pt idx="1">
                  <c:v>92.274250753541239</c:v>
                </c:pt>
                <c:pt idx="2">
                  <c:v>105.4562865754757</c:v>
                </c:pt>
                <c:pt idx="3">
                  <c:v>118.63832239741016</c:v>
                </c:pt>
                <c:pt idx="4">
                  <c:v>131.82035821934463</c:v>
                </c:pt>
                <c:pt idx="5">
                  <c:v>145.0023940412791</c:v>
                </c:pt>
                <c:pt idx="6">
                  <c:v>158.18442986321355</c:v>
                </c:pt>
                <c:pt idx="7">
                  <c:v>171.36646568514803</c:v>
                </c:pt>
                <c:pt idx="8">
                  <c:v>184.54850150708248</c:v>
                </c:pt>
                <c:pt idx="9">
                  <c:v>197.73053732901695</c:v>
                </c:pt>
                <c:pt idx="10">
                  <c:v>210.9125731509514</c:v>
                </c:pt>
                <c:pt idx="11">
                  <c:v>224.09460897288588</c:v>
                </c:pt>
                <c:pt idx="12">
                  <c:v>237.27664479482033</c:v>
                </c:pt>
                <c:pt idx="13">
                  <c:v>250.4586806167548</c:v>
                </c:pt>
                <c:pt idx="14">
                  <c:v>263.64071643868925</c:v>
                </c:pt>
                <c:pt idx="15">
                  <c:v>276.82275226062376</c:v>
                </c:pt>
                <c:pt idx="16">
                  <c:v>290.00478808255821</c:v>
                </c:pt>
                <c:pt idx="17">
                  <c:v>303.18682390449266</c:v>
                </c:pt>
                <c:pt idx="18">
                  <c:v>316.3688597264271</c:v>
                </c:pt>
                <c:pt idx="19">
                  <c:v>329.55089554836161</c:v>
                </c:pt>
                <c:pt idx="20">
                  <c:v>342.73293137029606</c:v>
                </c:pt>
                <c:pt idx="21">
                  <c:v>355.91496719223051</c:v>
                </c:pt>
                <c:pt idx="22">
                  <c:v>369.09700301416495</c:v>
                </c:pt>
                <c:pt idx="23">
                  <c:v>382.27903883609946</c:v>
                </c:pt>
                <c:pt idx="24">
                  <c:v>395.46107465803391</c:v>
                </c:pt>
                <c:pt idx="25">
                  <c:v>408.64311047996836</c:v>
                </c:pt>
                <c:pt idx="26">
                  <c:v>421.82514630190281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58-40D5-AC05-1BE29D5DD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008591"/>
        <c:axId val="1"/>
      </c:lineChart>
      <c:catAx>
        <c:axId val="2300085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4846281064309342"/>
              <c:y val="0.846394594997391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(MW)</a:t>
                </a:r>
              </a:p>
            </c:rich>
          </c:tx>
          <c:layout>
            <c:manualLayout>
              <c:xMode val="edge"/>
              <c:yMode val="edge"/>
              <c:x val="4.8316014401545537E-2"/>
              <c:y val="0.3667709911655364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0008591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43</xdr:row>
      <xdr:rowOff>85725</xdr:rowOff>
    </xdr:from>
    <xdr:to>
      <xdr:col>10</xdr:col>
      <xdr:colOff>19050</xdr:colOff>
      <xdr:row>80</xdr:row>
      <xdr:rowOff>57150</xdr:rowOff>
    </xdr:to>
    <xdr:graphicFrame macro="">
      <xdr:nvGraphicFramePr>
        <xdr:cNvPr id="6905738" name="Chart 1">
          <a:extLst>
            <a:ext uri="{FF2B5EF4-FFF2-40B4-BE49-F238E27FC236}">
              <a16:creationId xmlns:a16="http://schemas.microsoft.com/office/drawing/2014/main" id="{61B6F300-93D1-5053-B081-FB958A50DB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</xdr:colOff>
      <xdr:row>43</xdr:row>
      <xdr:rowOff>85725</xdr:rowOff>
    </xdr:from>
    <xdr:to>
      <xdr:col>19</xdr:col>
      <xdr:colOff>942975</xdr:colOff>
      <xdr:row>81</xdr:row>
      <xdr:rowOff>9525</xdr:rowOff>
    </xdr:to>
    <xdr:graphicFrame macro="">
      <xdr:nvGraphicFramePr>
        <xdr:cNvPr id="6905739" name="Chart 4">
          <a:extLst>
            <a:ext uri="{FF2B5EF4-FFF2-40B4-BE49-F238E27FC236}">
              <a16:creationId xmlns:a16="http://schemas.microsoft.com/office/drawing/2014/main" id="{6A615AE1-1C38-C1DC-A0CF-D380BB9793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0.60793</cdr:x>
      <cdr:y>0.29351</cdr:y>
    </cdr:from>
    <cdr:to>
      <cdr:x>0.77557</cdr:x>
      <cdr:y>0.30926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7260" y="1666954"/>
          <a:ext cx="1190140" cy="1425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0.7561</cdr:x>
      <cdr:y>0.39104</cdr:y>
    </cdr:from>
    <cdr:to>
      <cdr:x>0.88996</cdr:x>
      <cdr:y>0.41711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8633" y="2732147"/>
          <a:ext cx="1038949" cy="1807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0.20048</cdr:x>
      <cdr:y>0.31274</cdr:y>
    </cdr:from>
    <cdr:to>
      <cdr:x>0.39529</cdr:x>
      <cdr:y>0.33806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0545" y="1941701"/>
          <a:ext cx="1494458" cy="1998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0.14684</cdr:x>
      <cdr:y>0.42698</cdr:y>
    </cdr:from>
    <cdr:to>
      <cdr:x>0.28882</cdr:x>
      <cdr:y>0.47052</cdr:y>
    </cdr:to>
    <cdr:sp macro="" textlink="">
      <cdr:nvSpPr>
        <cdr:cNvPr id="30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3317" y="3023055"/>
          <a:ext cx="1170756" cy="3144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0.73587</cdr:x>
      <cdr:y>0.39448</cdr:y>
    </cdr:from>
    <cdr:to>
      <cdr:x>0.87956</cdr:x>
      <cdr:y>0.41907</cdr:y>
    </cdr:to>
    <cdr:sp macro="" textlink="">
      <cdr:nvSpPr>
        <cdr:cNvPr id="30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7751" y="2732147"/>
          <a:ext cx="1104852" cy="1807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  <cdr:relSizeAnchor xmlns:cdr="http://schemas.openxmlformats.org/drawingml/2006/chartDrawing">
    <cdr:from>
      <cdr:x>0.22878</cdr:x>
      <cdr:y>0.37057</cdr:y>
    </cdr:from>
    <cdr:to>
      <cdr:x>0.22877</cdr:x>
      <cdr:y>0.63781</cdr:y>
    </cdr:to>
    <cdr:sp macro="" textlink="">
      <cdr:nvSpPr>
        <cdr:cNvPr id="307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952309" y="2429485"/>
          <a:ext cx="5815" cy="25505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0.54025</cdr:x>
      <cdr:y>0.37057</cdr:y>
    </cdr:from>
    <cdr:to>
      <cdr:x>0.54249</cdr:x>
      <cdr:y>0.63781</cdr:y>
    </cdr:to>
    <cdr:sp macro="" textlink="">
      <cdr:nvSpPr>
        <cdr:cNvPr id="307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324834" y="2429485"/>
          <a:ext cx="5815" cy="25505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0.28586</cdr:x>
      <cdr:y>0.58287</cdr:y>
    </cdr:from>
    <cdr:to>
      <cdr:x>0.50567</cdr:x>
      <cdr:y>0.63582</cdr:y>
    </cdr:to>
    <cdr:sp macro="" textlink="">
      <cdr:nvSpPr>
        <cdr:cNvPr id="308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7422" y="4504040"/>
          <a:ext cx="1676662" cy="43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70% of the hours in 1999 fall between these max and min lines.</a:t>
          </a:r>
        </a:p>
      </cdr:txBody>
    </cdr:sp>
  </cdr:relSizeAnchor>
  <cdr:relSizeAnchor xmlns:cdr="http://schemas.openxmlformats.org/drawingml/2006/chartDrawing">
    <cdr:from>
      <cdr:x>0.47971</cdr:x>
      <cdr:y>0.6028</cdr:y>
    </cdr:from>
    <cdr:to>
      <cdr:x>0.54025</cdr:x>
      <cdr:y>0.6028</cdr:y>
    </cdr:to>
    <cdr:sp macro="" textlink="">
      <cdr:nvSpPr>
        <cdr:cNvPr id="3081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22805" y="4601009"/>
          <a:ext cx="50202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0.23167</cdr:x>
      <cdr:y>0.6028</cdr:y>
    </cdr:from>
    <cdr:to>
      <cdr:x>0.28804</cdr:x>
      <cdr:y>0.6028</cdr:y>
    </cdr:to>
    <cdr:sp macro="" textlink="">
      <cdr:nvSpPr>
        <cdr:cNvPr id="3083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2309" y="4601009"/>
          <a:ext cx="40511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0.62484</cdr:x>
      <cdr:y>0.28072</cdr:y>
    </cdr:from>
    <cdr:to>
      <cdr:x>0.82965</cdr:x>
      <cdr:y>0.32404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4735" y="1982970"/>
          <a:ext cx="1477152" cy="314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(MW)</a:t>
          </a:r>
        </a:p>
      </cdr:txBody>
    </cdr:sp>
  </cdr:relSizeAnchor>
  <cdr:relSizeAnchor xmlns:cdr="http://schemas.openxmlformats.org/drawingml/2006/chartDrawing">
    <cdr:from>
      <cdr:x>0.69836</cdr:x>
      <cdr:y>0.38067</cdr:y>
    </cdr:from>
    <cdr:to>
      <cdr:x>0.88932</cdr:x>
      <cdr:y>0.40995</cdr:y>
    </cdr:to>
    <cdr:sp macro="" textlink="">
      <cdr:nvSpPr>
        <cdr:cNvPr id="6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9443" y="2776807"/>
          <a:ext cx="1380582" cy="200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</a:t>
          </a:r>
        </a:p>
      </cdr:txBody>
    </cdr:sp>
  </cdr:relSizeAnchor>
  <cdr:relSizeAnchor xmlns:cdr="http://schemas.openxmlformats.org/drawingml/2006/chartDrawing">
    <cdr:from>
      <cdr:x>0.20685</cdr:x>
      <cdr:y>0.34281</cdr:y>
    </cdr:from>
    <cdr:to>
      <cdr:x>0.20685</cdr:x>
      <cdr:y>0.63007</cdr:y>
    </cdr:to>
    <cdr:sp macro="" textlink="">
      <cdr:nvSpPr>
        <cdr:cNvPr id="614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458207" y="2576101"/>
          <a:ext cx="0" cy="25402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0.63819</cdr:x>
      <cdr:y>0.33635</cdr:y>
    </cdr:from>
    <cdr:to>
      <cdr:x>0.63791</cdr:x>
      <cdr:y>0.63005</cdr:y>
    </cdr:to>
    <cdr:sp macro="" textlink="">
      <cdr:nvSpPr>
        <cdr:cNvPr id="614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07728" y="2529669"/>
          <a:ext cx="7153" cy="2586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0.3115</cdr:x>
      <cdr:y>0.56359</cdr:y>
    </cdr:from>
    <cdr:to>
      <cdr:x>0.53302</cdr:x>
      <cdr:y>0.60764</cdr:y>
    </cdr:to>
    <cdr:sp macro="" textlink="">
      <cdr:nvSpPr>
        <cdr:cNvPr id="614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0104" y="4592149"/>
          <a:ext cx="1743610" cy="3519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90% of the hours in 1999 fall between these max and min lines.</a:t>
          </a:r>
        </a:p>
      </cdr:txBody>
    </cdr:sp>
  </cdr:relSizeAnchor>
  <cdr:relSizeAnchor xmlns:cdr="http://schemas.openxmlformats.org/drawingml/2006/chartDrawing">
    <cdr:from>
      <cdr:x>0.50763</cdr:x>
      <cdr:y>0.57954</cdr:y>
    </cdr:from>
    <cdr:to>
      <cdr:x>0.63844</cdr:x>
      <cdr:y>0.57954</cdr:y>
    </cdr:to>
    <cdr:sp macro="" textlink="">
      <cdr:nvSpPr>
        <cdr:cNvPr id="615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08058" y="4691004"/>
          <a:ext cx="99967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0.20737</cdr:x>
      <cdr:y>0.57783</cdr:y>
    </cdr:from>
    <cdr:to>
      <cdr:x>0.30559</cdr:x>
      <cdr:y>0.57783</cdr:y>
    </cdr:to>
    <cdr:sp macro="" textlink="">
      <cdr:nvSpPr>
        <cdr:cNvPr id="6151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458207" y="4691004"/>
          <a:ext cx="76003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114</xdr:row>
      <xdr:rowOff>19050</xdr:rowOff>
    </xdr:from>
    <xdr:to>
      <xdr:col>14</xdr:col>
      <xdr:colOff>742950</xdr:colOff>
      <xdr:row>151</xdr:row>
      <xdr:rowOff>133350</xdr:rowOff>
    </xdr:to>
    <xdr:graphicFrame macro="">
      <xdr:nvGraphicFramePr>
        <xdr:cNvPr id="6880227" name="Chart 5">
          <a:extLst>
            <a:ext uri="{FF2B5EF4-FFF2-40B4-BE49-F238E27FC236}">
              <a16:creationId xmlns:a16="http://schemas.microsoft.com/office/drawing/2014/main" id="{83209798-5D53-876B-3C2C-CBB6E0037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76200</xdr:colOff>
      <xdr:row>76</xdr:row>
      <xdr:rowOff>9525</xdr:rowOff>
    </xdr:from>
    <xdr:to>
      <xdr:col>15</xdr:col>
      <xdr:colOff>180975</xdr:colOff>
      <xdr:row>108</xdr:row>
      <xdr:rowOff>28575</xdr:rowOff>
    </xdr:to>
    <xdr:graphicFrame macro="">
      <xdr:nvGraphicFramePr>
        <xdr:cNvPr id="6880228" name="Chart 6">
          <a:extLst>
            <a:ext uri="{FF2B5EF4-FFF2-40B4-BE49-F238E27FC236}">
              <a16:creationId xmlns:a16="http://schemas.microsoft.com/office/drawing/2014/main" id="{4A7FD6BA-814D-47ED-FD53-932A320383F4}"/>
            </a:ext>
            <a:ext uri="{147F2762-F138-4A5C-976F-8EAC2B608ADB}">
              <a16:predDERef xmlns:a16="http://schemas.microsoft.com/office/drawing/2014/main" pred="{83209798-5D53-876B-3C2C-CBB6E0037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838200</xdr:colOff>
      <xdr:row>83</xdr:row>
      <xdr:rowOff>9525</xdr:rowOff>
    </xdr:from>
    <xdr:to>
      <xdr:col>9</xdr:col>
      <xdr:colOff>838200</xdr:colOff>
      <xdr:row>101</xdr:row>
      <xdr:rowOff>123825</xdr:rowOff>
    </xdr:to>
    <xdr:sp macro="" textlink="">
      <xdr:nvSpPr>
        <xdr:cNvPr id="6880229" name="Line 11">
          <a:extLst>
            <a:ext uri="{FF2B5EF4-FFF2-40B4-BE49-F238E27FC236}">
              <a16:creationId xmlns:a16="http://schemas.microsoft.com/office/drawing/2014/main" id="{BADBCC6A-7F36-8451-857F-88A26B54BE57}"/>
            </a:ext>
          </a:extLst>
        </xdr:cNvPr>
        <xdr:cNvSpPr>
          <a:spLocks noChangeShapeType="1"/>
        </xdr:cNvSpPr>
      </xdr:nvSpPr>
      <xdr:spPr bwMode="auto">
        <a:xfrm flipH="1" flipV="1">
          <a:off x="8648700" y="14420850"/>
          <a:ext cx="0" cy="3762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323850</xdr:colOff>
      <xdr:row>83</xdr:row>
      <xdr:rowOff>28575</xdr:rowOff>
    </xdr:from>
    <xdr:to>
      <xdr:col>13</xdr:col>
      <xdr:colOff>323850</xdr:colOff>
      <xdr:row>101</xdr:row>
      <xdr:rowOff>142875</xdr:rowOff>
    </xdr:to>
    <xdr:sp macro="" textlink="">
      <xdr:nvSpPr>
        <xdr:cNvPr id="2" name="Straight Connector 1">
          <a:extLst>
            <a:ext uri="{FF2B5EF4-FFF2-40B4-BE49-F238E27FC236}">
              <a16:creationId xmlns:a16="http://schemas.microsoft.com/office/drawing/2014/main" id="{C0D01739-7E02-468E-A478-893FD7FA0758}"/>
            </a:ext>
            <a:ext uri="{147F2762-F138-4A5C-976F-8EAC2B608ADB}">
              <a16:predDERef xmlns:a16="http://schemas.microsoft.com/office/drawing/2014/main" pred="{BADBCC6A-7F36-8451-857F-88A26B54BE57}"/>
            </a:ext>
          </a:extLst>
        </xdr:cNvPr>
        <xdr:cNvSpPr>
          <a:spLocks noChangeShapeType="1"/>
        </xdr:cNvSpPr>
      </xdr:nvSpPr>
      <xdr:spPr bwMode="auto">
        <a:xfrm flipH="1" flipV="1">
          <a:off x="11991975" y="14439900"/>
          <a:ext cx="0" cy="3762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/>
        </a:p>
      </xdr:txBody>
    </xdr:sp>
    <xdr:clientData/>
  </xdr:twoCellAnchor>
  <xdr:twoCellAnchor>
    <xdr:from>
      <xdr:col>9</xdr:col>
      <xdr:colOff>266700</xdr:colOff>
      <xdr:row>119</xdr:row>
      <xdr:rowOff>66675</xdr:rowOff>
    </xdr:from>
    <xdr:to>
      <xdr:col>9</xdr:col>
      <xdr:colOff>266700</xdr:colOff>
      <xdr:row>140</xdr:row>
      <xdr:rowOff>38100</xdr:rowOff>
    </xdr:to>
    <xdr:sp macro="" textlink="">
      <xdr:nvSpPr>
        <xdr:cNvPr id="3" name="Straight Connector 2">
          <a:extLst>
            <a:ext uri="{FF2B5EF4-FFF2-40B4-BE49-F238E27FC236}">
              <a16:creationId xmlns:a16="http://schemas.microsoft.com/office/drawing/2014/main" id="{7C18A414-853C-461D-94D0-2299D0B072F5}"/>
            </a:ext>
            <a:ext uri="{147F2762-F138-4A5C-976F-8EAC2B608ADB}">
              <a16:predDERef xmlns:a16="http://schemas.microsoft.com/office/drawing/2014/main" pred="{C0D01739-7E02-468E-A478-893FD7FA0758}"/>
            </a:ext>
          </a:extLst>
        </xdr:cNvPr>
        <xdr:cNvSpPr>
          <a:spLocks noChangeShapeType="1"/>
        </xdr:cNvSpPr>
      </xdr:nvSpPr>
      <xdr:spPr bwMode="auto">
        <a:xfrm flipH="1" flipV="1">
          <a:off x="8077200" y="21669375"/>
          <a:ext cx="0" cy="3762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/>
        </a:p>
      </xdr:txBody>
    </xdr:sp>
    <xdr:clientData/>
  </xdr:twoCellAnchor>
  <xdr:twoCellAnchor>
    <xdr:from>
      <xdr:col>12</xdr:col>
      <xdr:colOff>371475</xdr:colOff>
      <xdr:row>119</xdr:row>
      <xdr:rowOff>76200</xdr:rowOff>
    </xdr:from>
    <xdr:to>
      <xdr:col>12</xdr:col>
      <xdr:colOff>371475</xdr:colOff>
      <xdr:row>140</xdr:row>
      <xdr:rowOff>47625</xdr:rowOff>
    </xdr:to>
    <xdr:sp macro="" textlink="">
      <xdr:nvSpPr>
        <xdr:cNvPr id="4" name="Straight Connector 3">
          <a:extLst>
            <a:ext uri="{FF2B5EF4-FFF2-40B4-BE49-F238E27FC236}">
              <a16:creationId xmlns:a16="http://schemas.microsoft.com/office/drawing/2014/main" id="{2E29AE81-44A5-4717-8481-071896AD2FFC}"/>
            </a:ext>
            <a:ext uri="{147F2762-F138-4A5C-976F-8EAC2B608ADB}">
              <a16:predDERef xmlns:a16="http://schemas.microsoft.com/office/drawing/2014/main" pred="{7C18A414-853C-461D-94D0-2299D0B072F5}"/>
            </a:ext>
          </a:extLst>
        </xdr:cNvPr>
        <xdr:cNvSpPr>
          <a:spLocks noChangeShapeType="1"/>
        </xdr:cNvSpPr>
      </xdr:nvSpPr>
      <xdr:spPr bwMode="auto">
        <a:xfrm flipH="1" flipV="1">
          <a:off x="11172825" y="21678900"/>
          <a:ext cx="0" cy="3762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/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0.63679</cdr:x>
      <cdr:y>0.25892</cdr:y>
    </cdr:from>
    <cdr:to>
      <cdr:x>0.63679</cdr:x>
      <cdr:y>0.25892</cdr:y>
    </cdr:to>
    <cdr:sp macro="" textlink="">
      <cdr:nvSpPr>
        <cdr:cNvPr id="839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301" y="220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0.7781</cdr:x>
      <cdr:y>0.42877</cdr:y>
    </cdr:from>
    <cdr:to>
      <cdr:x>0.7781</cdr:x>
      <cdr:y>0.42877</cdr:y>
    </cdr:to>
    <cdr:sp macro="" textlink="">
      <cdr:nvSpPr>
        <cdr:cNvPr id="839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327" y="352886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0.26546</cdr:x>
      <cdr:y>0.29885</cdr:y>
    </cdr:from>
    <cdr:to>
      <cdr:x>0.26546</cdr:x>
      <cdr:y>0.29885</cdr:y>
    </cdr:to>
    <cdr:sp macro="" textlink="">
      <cdr:nvSpPr>
        <cdr:cNvPr id="839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2883" y="256451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0.22582</cdr:x>
      <cdr:y>0.47879</cdr:y>
    </cdr:from>
    <cdr:to>
      <cdr:x>0.22582</cdr:x>
      <cdr:y>0.47879</cdr:y>
    </cdr:to>
    <cdr:sp macro="" textlink="">
      <cdr:nvSpPr>
        <cdr:cNvPr id="839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1163" y="388965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0.7588</cdr:x>
      <cdr:y>0.42877</cdr:y>
    </cdr:from>
    <cdr:to>
      <cdr:x>0.7588</cdr:x>
      <cdr:y>0.42877</cdr:y>
    </cdr:to>
    <cdr:sp macro="" textlink="">
      <cdr:nvSpPr>
        <cdr:cNvPr id="839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3484" y="352886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  <cdr:relSizeAnchor xmlns:cdr="http://schemas.openxmlformats.org/drawingml/2006/chartDrawing">
    <cdr:from>
      <cdr:x>0.33027</cdr:x>
      <cdr:y>0.48473</cdr:y>
    </cdr:from>
    <cdr:to>
      <cdr:x>0.33027</cdr:x>
      <cdr:y>0.48473</cdr:y>
    </cdr:to>
    <cdr:sp macro="" textlink="">
      <cdr:nvSpPr>
        <cdr:cNvPr id="839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4297" y="396720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 = 0.85)</a:t>
          </a:r>
        </a:p>
      </cdr:txBody>
    </cdr:sp>
  </cdr:relSizeAnchor>
  <cdr:relSizeAnchor xmlns:cdr="http://schemas.openxmlformats.org/drawingml/2006/chartDrawing">
    <cdr:from>
      <cdr:x>0.45529</cdr:x>
      <cdr:y>0.33179</cdr:y>
    </cdr:from>
    <cdr:to>
      <cdr:x>0.45529</cdr:x>
      <cdr:y>0.80485</cdr:y>
    </cdr:to>
    <cdr:sp macro="" textlink="">
      <cdr:nvSpPr>
        <cdr:cNvPr id="8397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626275" y="2313675"/>
          <a:ext cx="7371" cy="289404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0.81854</cdr:x>
      <cdr:y>0.26628</cdr:y>
    </cdr:from>
    <cdr:to>
      <cdr:x>0.82102</cdr:x>
      <cdr:y>0.80814</cdr:y>
    </cdr:to>
    <cdr:sp macro="" textlink="">
      <cdr:nvSpPr>
        <cdr:cNvPr id="83983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8162025" y="1866433"/>
          <a:ext cx="21865" cy="335914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0.26975</cdr:x>
      <cdr:y>0.24088</cdr:y>
    </cdr:from>
    <cdr:to>
      <cdr:x>0.31508</cdr:x>
      <cdr:y>0.32829</cdr:y>
    </cdr:to>
    <cdr:sp macro="" textlink="">
      <cdr:nvSpPr>
        <cdr:cNvPr id="83985" name="Line 1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31546" y="1890132"/>
          <a:ext cx="472451" cy="527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0.31495</cdr:x>
      <cdr:y>0.21871</cdr:y>
    </cdr:from>
    <cdr:to>
      <cdr:x>0.56457</cdr:x>
      <cdr:y>0.26603</cdr:y>
    </cdr:to>
    <cdr:sp macro="" textlink="">
      <cdr:nvSpPr>
        <cdr:cNvPr id="8398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525" y="1842938"/>
          <a:ext cx="2494640" cy="360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Actual Losses</a:t>
          </a:r>
        </a:p>
      </cdr:txBody>
    </cdr:sp>
  </cdr:relSizeAnchor>
  <cdr:relSizeAnchor xmlns:cdr="http://schemas.openxmlformats.org/drawingml/2006/chartDrawing">
    <cdr:from>
      <cdr:x>0.23478</cdr:x>
      <cdr:y>0.36258</cdr:y>
    </cdr:from>
    <cdr:to>
      <cdr:x>0.25743</cdr:x>
      <cdr:y>0.46085</cdr:y>
    </cdr:to>
    <cdr:sp macro="" textlink="">
      <cdr:nvSpPr>
        <cdr:cNvPr id="83987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211624" y="2702378"/>
          <a:ext cx="233332" cy="59540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0.11793</cdr:x>
      <cdr:y>0.49442</cdr:y>
    </cdr:from>
    <cdr:to>
      <cdr:x>0.33517</cdr:x>
      <cdr:y>0.69294</cdr:y>
    </cdr:to>
    <cdr:sp macro="" textlink="">
      <cdr:nvSpPr>
        <cdr:cNvPr id="1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881" y="3334988"/>
          <a:ext cx="2196289" cy="1014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Calculated Losses as per ERCOT Protocol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DLF = F1*(SIEL/AAL) + F2 + F3/(SIEL/AAL)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F1 = .020820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F2 = -.003220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F3 = .022300</a:t>
          </a:r>
        </a:p>
      </cdr:txBody>
    </cdr:sp>
  </cdr:relSizeAnchor>
  <cdr:relSizeAnchor xmlns:cdr="http://schemas.openxmlformats.org/drawingml/2006/chartDrawing">
    <cdr:from>
      <cdr:x>0.50973</cdr:x>
      <cdr:y>0.63982</cdr:y>
    </cdr:from>
    <cdr:to>
      <cdr:x>0.68106</cdr:x>
      <cdr:y>0.67952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9328" y="3960172"/>
          <a:ext cx="1702288" cy="2261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AAL (15 mins) = 12,969</a:t>
          </a:r>
        </a:p>
      </cdr:txBody>
    </cdr:sp>
  </cdr:relSizeAnchor>
  <cdr:relSizeAnchor xmlns:cdr="http://schemas.openxmlformats.org/drawingml/2006/chartDrawing">
    <cdr:from>
      <cdr:x>0.5119</cdr:x>
      <cdr:y>0.705</cdr:y>
    </cdr:from>
    <cdr:to>
      <cdr:x>0.68504</cdr:x>
      <cdr:y>0.74565</cdr:y>
    </cdr:to>
    <cdr:sp macro="" textlink="">
      <cdr:nvSpPr>
        <cdr:cNvPr id="3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04883" y="4654550"/>
          <a:ext cx="1683833" cy="2245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Peak (15 min) = 21,327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0.62047</cdr:x>
      <cdr:y>0.28678</cdr:y>
    </cdr:from>
    <cdr:to>
      <cdr:x>0.62047</cdr:x>
      <cdr:y>0.28678</cdr:y>
    </cdr:to>
    <cdr:sp macro="" textlink="">
      <cdr:nvSpPr>
        <cdr:cNvPr id="1013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85999" y="22394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0.75961</cdr:x>
      <cdr:y>0.43598</cdr:y>
    </cdr:from>
    <cdr:to>
      <cdr:x>0.75961</cdr:x>
      <cdr:y>0.43598</cdr:y>
    </cdr:to>
    <cdr:sp macro="" textlink="">
      <cdr:nvSpPr>
        <cdr:cNvPr id="1013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28624" y="356098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0.25075</cdr:x>
      <cdr:y>0.32572</cdr:y>
    </cdr:from>
    <cdr:to>
      <cdr:x>0.25075</cdr:x>
      <cdr:y>0.32572</cdr:y>
    </cdr:to>
    <cdr:sp macro="" textlink="">
      <cdr:nvSpPr>
        <cdr:cNvPr id="1013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2900" y="259295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0.21757</cdr:x>
      <cdr:y>0.47992</cdr:y>
    </cdr:from>
    <cdr:to>
      <cdr:x>0.21757</cdr:x>
      <cdr:y>0.47992</cdr:y>
    </cdr:to>
    <cdr:sp macro="" textlink="">
      <cdr:nvSpPr>
        <cdr:cNvPr id="1013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6908" y="391453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0.73881</cdr:x>
      <cdr:y>0.43598</cdr:y>
    </cdr:from>
    <cdr:to>
      <cdr:x>0.73881</cdr:x>
      <cdr:y>0.43598</cdr:y>
    </cdr:to>
    <cdr:sp macro="" textlink="">
      <cdr:nvSpPr>
        <cdr:cNvPr id="10138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41172" y="356098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  <cdr:relSizeAnchor xmlns:cdr="http://schemas.openxmlformats.org/drawingml/2006/chartDrawing">
    <cdr:from>
      <cdr:x>0.30939</cdr:x>
      <cdr:y>0.49028</cdr:y>
    </cdr:from>
    <cdr:to>
      <cdr:x>0.30939</cdr:x>
      <cdr:y>0.49028</cdr:y>
    </cdr:to>
    <cdr:sp macro="" textlink="">
      <cdr:nvSpPr>
        <cdr:cNvPr id="10138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9609" y="400712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 = 0.85)</a:t>
          </a:r>
        </a:p>
      </cdr:txBody>
    </cdr:sp>
  </cdr:relSizeAnchor>
  <cdr:relSizeAnchor xmlns:cdr="http://schemas.openxmlformats.org/drawingml/2006/chartDrawing">
    <cdr:from>
      <cdr:x>0.80596</cdr:x>
      <cdr:y>0.17991</cdr:y>
    </cdr:from>
    <cdr:to>
      <cdr:x>0.80653</cdr:x>
      <cdr:y>0.80942</cdr:y>
    </cdr:to>
    <cdr:sp macro="" textlink="">
      <cdr:nvSpPr>
        <cdr:cNvPr id="101387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8406493" y="1426935"/>
          <a:ext cx="8298" cy="36643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0.55761</cdr:x>
      <cdr:y>0.60837</cdr:y>
    </cdr:from>
    <cdr:to>
      <cdr:x>0.72962</cdr:x>
      <cdr:y>0.64572</cdr:y>
    </cdr:to>
    <cdr:sp macro="" textlink="">
      <cdr:nvSpPr>
        <cdr:cNvPr id="10138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0177" y="3921280"/>
          <a:ext cx="1718571" cy="2138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AAL (15 mins) = 12,969</a:t>
          </a:r>
        </a:p>
      </cdr:txBody>
    </cdr:sp>
  </cdr:relSizeAnchor>
  <cdr:relSizeAnchor xmlns:cdr="http://schemas.openxmlformats.org/drawingml/2006/chartDrawing">
    <cdr:from>
      <cdr:x>0.55872</cdr:x>
      <cdr:y>0.67062</cdr:y>
    </cdr:from>
    <cdr:to>
      <cdr:x>0.73367</cdr:x>
      <cdr:y>0.71231</cdr:y>
    </cdr:to>
    <cdr:sp macro="" textlink="">
      <cdr:nvSpPr>
        <cdr:cNvPr id="10138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81550" y="4509487"/>
          <a:ext cx="1700788" cy="2113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Peak (15 min) = 21,327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0.20961</cdr:x>
      <cdr:y>0.73566</cdr:y>
    </cdr:from>
    <cdr:to>
      <cdr:x>0.42509</cdr:x>
      <cdr:y>0.93203</cdr:y>
    </cdr:to>
    <cdr:sp macro="" textlink="">
      <cdr:nvSpPr>
        <cdr:cNvPr id="10139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764" y="4657195"/>
          <a:ext cx="2149239" cy="1144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Calculated Losses as per ERCOT Protocol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DLF = F1*(SIEL/AAL) + F2 + F3/(SIEL/AAL)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F1 = .0.017290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F2 = -0.008009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F3 = 0.004050</a:t>
          </a:r>
          <a:endParaRPr lang="en-US" sz="67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0.16916</cdr:x>
      <cdr:y>0.69611</cdr:y>
    </cdr:from>
    <cdr:to>
      <cdr:x>0.19785</cdr:x>
      <cdr:y>0.77257</cdr:y>
    </cdr:to>
    <cdr:sp macro="" textlink="">
      <cdr:nvSpPr>
        <cdr:cNvPr id="101391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19714" y="4838452"/>
          <a:ext cx="306409" cy="39012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0.137</cdr:x>
      <cdr:y>0.51643</cdr:y>
    </cdr:from>
    <cdr:to>
      <cdr:x>0.21799</cdr:x>
      <cdr:y>0.63116</cdr:y>
    </cdr:to>
    <cdr:sp macro="" textlink="">
      <cdr:nvSpPr>
        <cdr:cNvPr id="101392" name="Line 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732706" y="3386542"/>
          <a:ext cx="810411" cy="66331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0.2058</cdr:x>
      <cdr:y>0.46837</cdr:y>
    </cdr:from>
    <cdr:to>
      <cdr:x>0.34793</cdr:x>
      <cdr:y>0.5087</cdr:y>
    </cdr:to>
    <cdr:sp macro="" textlink="">
      <cdr:nvSpPr>
        <cdr:cNvPr id="10139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8101" y="3110471"/>
          <a:ext cx="1419782" cy="22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Actual Losses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43</xdr:row>
      <xdr:rowOff>85725</xdr:rowOff>
    </xdr:from>
    <xdr:to>
      <xdr:col>10</xdr:col>
      <xdr:colOff>19050</xdr:colOff>
      <xdr:row>80</xdr:row>
      <xdr:rowOff>57150</xdr:rowOff>
    </xdr:to>
    <xdr:graphicFrame macro="">
      <xdr:nvGraphicFramePr>
        <xdr:cNvPr id="6924165" name="Chart 1">
          <a:extLst>
            <a:ext uri="{FF2B5EF4-FFF2-40B4-BE49-F238E27FC236}">
              <a16:creationId xmlns:a16="http://schemas.microsoft.com/office/drawing/2014/main" id="{90D0CBBB-A6A1-79F2-5450-9A172FB0C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</xdr:colOff>
      <xdr:row>43</xdr:row>
      <xdr:rowOff>85725</xdr:rowOff>
    </xdr:from>
    <xdr:to>
      <xdr:col>19</xdr:col>
      <xdr:colOff>219075</xdr:colOff>
      <xdr:row>81</xdr:row>
      <xdr:rowOff>9525</xdr:rowOff>
    </xdr:to>
    <xdr:graphicFrame macro="">
      <xdr:nvGraphicFramePr>
        <xdr:cNvPr id="6924166" name="Chart 2">
          <a:extLst>
            <a:ext uri="{FF2B5EF4-FFF2-40B4-BE49-F238E27FC236}">
              <a16:creationId xmlns:a16="http://schemas.microsoft.com/office/drawing/2014/main" id="{1D38FBE6-5FC7-5FEC-22DC-731C368FF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0.67786</cdr:x>
      <cdr:y>0.36372</cdr:y>
    </cdr:from>
    <cdr:to>
      <cdr:x>0.67786</cdr:x>
      <cdr:y>0.36372</cdr:y>
    </cdr:to>
    <cdr:sp macro="" textlink="">
      <cdr:nvSpPr>
        <cdr:cNvPr id="143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05191" y="20842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0.82165</cdr:x>
      <cdr:y>0.44976</cdr:y>
    </cdr:from>
    <cdr:to>
      <cdr:x>0.82165</cdr:x>
      <cdr:y>0.44976</cdr:y>
    </cdr:to>
    <cdr:sp macro="" textlink="">
      <cdr:nvSpPr>
        <cdr:cNvPr id="143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2906" y="30333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0.30406</cdr:x>
      <cdr:y>0.38928</cdr:y>
    </cdr:from>
    <cdr:to>
      <cdr:x>0.30406</cdr:x>
      <cdr:y>0.38928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8432" y="23442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0.26952</cdr:x>
      <cdr:y>0.47261</cdr:y>
    </cdr:from>
    <cdr:to>
      <cdr:x>0.26952</cdr:x>
      <cdr:y>0.47261</cdr:y>
    </cdr:to>
    <cdr:sp macro="" textlink="">
      <cdr:nvSpPr>
        <cdr:cNvPr id="143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8607" y="32816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0.80384</cdr:x>
      <cdr:y>0.44851</cdr:y>
    </cdr:from>
    <cdr:to>
      <cdr:x>0.80384</cdr:x>
      <cdr:y>0.44851</cdr:y>
    </cdr:to>
    <cdr:sp macro="" textlink="">
      <cdr:nvSpPr>
        <cdr:cNvPr id="1434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3654" y="30333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0.65024</cdr:x>
      <cdr:y>0.58522</cdr:y>
    </cdr:from>
    <cdr:to>
      <cdr:x>0.65024</cdr:x>
      <cdr:y>0.58522</cdr:y>
    </cdr:to>
    <cdr:sp macro="" textlink="">
      <cdr:nvSpPr>
        <cdr:cNvPr id="15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5802" y="47913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(MW)</a:t>
          </a:r>
        </a:p>
      </cdr:txBody>
    </cdr:sp>
  </cdr:relSizeAnchor>
  <cdr:relSizeAnchor xmlns:cdr="http://schemas.openxmlformats.org/drawingml/2006/chartDrawing">
    <cdr:from>
      <cdr:x>0.72049</cdr:x>
      <cdr:y>0.58937</cdr:y>
    </cdr:from>
    <cdr:to>
      <cdr:x>0.72049</cdr:x>
      <cdr:y>0.58937</cdr:y>
    </cdr:to>
    <cdr:sp macro="" textlink="">
      <cdr:nvSpPr>
        <cdr:cNvPr id="15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24451" y="48288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182BBC9-1CCB-4527-938A-0B54E3C80555}" name="Table2" displayName="Table2" ref="B5:C19" totalsRowShown="0" headerRowDxfId="3" dataDxfId="2">
  <autoFilter ref="B5:C19" xr:uid="{D8155D8B-C3FA-43A8-807F-3357B30613BB}"/>
  <tableColumns count="2">
    <tableColumn id="1" xr3:uid="{00000000-0010-0000-0100-000001000000}" name="Year" dataDxfId="1">
      <calculatedColumnFormula>B5-1</calculatedColumnFormula>
    </tableColumn>
    <tableColumn id="2" xr3:uid="{00000000-0010-0000-0100-000002000000}" name="AAL Valu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71C64-EAD0-4E9D-B0DD-3EC9E363BA0D}">
  <sheetPr>
    <pageSetUpPr fitToPage="1"/>
  </sheetPr>
  <dimension ref="A1:S131"/>
  <sheetViews>
    <sheetView tabSelected="1" zoomScale="80" workbookViewId="0">
      <selection activeCell="K122" sqref="K122"/>
    </sheetView>
  </sheetViews>
  <sheetFormatPr defaultRowHeight="12.75"/>
  <cols>
    <col min="1" max="1" width="60.42578125" customWidth="1"/>
    <col min="2" max="2" width="13.5703125" customWidth="1"/>
    <col min="3" max="3" width="15.140625" customWidth="1"/>
    <col min="4" max="4" width="13.5703125" customWidth="1"/>
    <col min="5" max="5" width="12.28515625" customWidth="1"/>
    <col min="6" max="6" width="12.42578125" customWidth="1"/>
    <col min="7" max="7" width="14.28515625" customWidth="1"/>
    <col min="8" max="8" width="10.42578125" customWidth="1"/>
    <col min="9" max="9" width="13.28515625" customWidth="1"/>
    <col min="10" max="10" width="19.85546875" bestFit="1" customWidth="1"/>
    <col min="11" max="11" width="10.28515625" customWidth="1"/>
    <col min="12" max="12" width="13.7109375" customWidth="1"/>
    <col min="13" max="14" width="11.42578125" customWidth="1"/>
  </cols>
  <sheetData>
    <row r="1" spans="1:19" ht="18">
      <c r="A1" s="435" t="s">
        <v>0</v>
      </c>
      <c r="B1" s="435"/>
      <c r="C1" s="435"/>
      <c r="D1" s="435"/>
      <c r="E1" s="435"/>
      <c r="F1" s="337">
        <f>'3) Loss Equations'!D19</f>
        <v>2025</v>
      </c>
      <c r="G1" s="165"/>
      <c r="H1" s="165"/>
      <c r="O1" s="5"/>
      <c r="Q1" s="5"/>
    </row>
    <row r="2" spans="1:19" ht="15" customHeight="1">
      <c r="C2" s="75"/>
      <c r="P2" s="432"/>
      <c r="Q2" s="432"/>
      <c r="R2" s="432"/>
      <c r="S2" s="432"/>
    </row>
    <row r="3" spans="1:19" ht="15">
      <c r="A3" s="163"/>
      <c r="B3" s="436"/>
      <c r="C3" s="436"/>
      <c r="D3" s="436"/>
      <c r="E3" s="436"/>
      <c r="P3" s="432"/>
      <c r="Q3" s="426"/>
      <c r="R3" s="426"/>
      <c r="S3" s="426"/>
    </row>
    <row r="5" spans="1:19" ht="15">
      <c r="A5" s="437" t="s">
        <v>1</v>
      </c>
      <c r="B5" s="437"/>
      <c r="C5" s="437"/>
      <c r="D5" s="437"/>
      <c r="E5" s="437"/>
    </row>
    <row r="6" spans="1:19">
      <c r="A6" s="425" t="s">
        <v>2</v>
      </c>
      <c r="B6" s="425"/>
      <c r="C6" s="425"/>
      <c r="D6" s="425"/>
      <c r="E6" s="425"/>
      <c r="F6" s="425"/>
      <c r="G6" s="425"/>
      <c r="H6" s="425"/>
      <c r="I6" s="425"/>
      <c r="J6" s="425"/>
    </row>
    <row r="7" spans="1:19">
      <c r="A7" s="425" t="s">
        <v>3</v>
      </c>
      <c r="B7" s="425"/>
      <c r="C7" s="425"/>
      <c r="D7" s="425"/>
      <c r="E7" s="425"/>
      <c r="F7" s="425"/>
      <c r="G7" s="425"/>
      <c r="H7" s="425"/>
      <c r="I7" s="425"/>
      <c r="J7" s="425"/>
    </row>
    <row r="8" spans="1:19">
      <c r="A8" s="425" t="s">
        <v>4</v>
      </c>
      <c r="B8" s="425"/>
      <c r="C8" s="425"/>
      <c r="D8" s="425"/>
      <c r="E8" s="425"/>
      <c r="F8" s="3"/>
      <c r="G8" s="3"/>
      <c r="H8" s="3"/>
      <c r="I8" s="3"/>
      <c r="J8" s="3"/>
    </row>
    <row r="10" spans="1:19">
      <c r="A10" s="425" t="s">
        <v>5</v>
      </c>
      <c r="B10" s="425"/>
      <c r="C10" s="425"/>
      <c r="D10" s="425"/>
      <c r="E10" s="425"/>
      <c r="F10" s="425"/>
      <c r="G10" s="425"/>
      <c r="H10" s="425"/>
      <c r="I10" s="425"/>
      <c r="J10" s="425"/>
    </row>
    <row r="11" spans="1:19">
      <c r="A11" s="425" t="s">
        <v>6</v>
      </c>
      <c r="B11" s="425"/>
      <c r="C11" s="425"/>
      <c r="D11" s="425"/>
      <c r="E11" s="425"/>
      <c r="F11" s="425"/>
      <c r="G11" s="425"/>
      <c r="H11" s="425"/>
      <c r="I11" s="425"/>
      <c r="J11" s="425"/>
    </row>
    <row r="12" spans="1:19">
      <c r="A12" s="425" t="s">
        <v>7</v>
      </c>
      <c r="B12" s="425"/>
    </row>
    <row r="14" spans="1:19">
      <c r="B14" s="434" t="s">
        <v>8</v>
      </c>
      <c r="C14" s="434"/>
      <c r="D14" s="434"/>
      <c r="E14" s="434"/>
    </row>
    <row r="15" spans="1:19">
      <c r="A15" t="s">
        <v>9</v>
      </c>
    </row>
    <row r="16" spans="1:19">
      <c r="B16" s="433" t="s">
        <v>10</v>
      </c>
      <c r="C16" s="433"/>
    </row>
    <row r="17" spans="1:11">
      <c r="B17" s="433" t="s">
        <v>11</v>
      </c>
      <c r="C17" s="433"/>
      <c r="D17" s="433"/>
      <c r="E17" s="433"/>
    </row>
    <row r="18" spans="1:11">
      <c r="B18" s="433" t="s">
        <v>12</v>
      </c>
      <c r="C18" s="433"/>
      <c r="D18" s="433"/>
      <c r="E18" s="433"/>
    </row>
    <row r="19" spans="1:11">
      <c r="B19" s="433" t="s">
        <v>13</v>
      </c>
      <c r="C19" s="433"/>
      <c r="D19" s="433"/>
      <c r="E19" s="433"/>
      <c r="F19" s="433"/>
      <c r="G19" s="433"/>
    </row>
    <row r="20" spans="1:11">
      <c r="B20" s="433" t="s">
        <v>14</v>
      </c>
      <c r="C20" s="433"/>
      <c r="D20" s="433"/>
      <c r="E20" s="433"/>
      <c r="F20" s="433"/>
      <c r="G20" s="433"/>
      <c r="H20" s="433"/>
    </row>
    <row r="21" spans="1:11">
      <c r="B21" s="425" t="s">
        <v>15</v>
      </c>
      <c r="C21" s="425"/>
      <c r="D21" s="425"/>
      <c r="E21" s="425"/>
      <c r="F21" s="425"/>
      <c r="G21" s="425"/>
      <c r="H21" s="425"/>
      <c r="I21" s="425"/>
      <c r="J21" s="425"/>
      <c r="K21" s="425"/>
    </row>
    <row r="22" spans="1:11">
      <c r="B22" s="431" t="s">
        <v>16</v>
      </c>
      <c r="C22" s="431"/>
      <c r="D22" s="431"/>
      <c r="E22" s="3"/>
      <c r="F22" s="3"/>
      <c r="G22" s="3"/>
      <c r="H22" s="3"/>
      <c r="I22" s="3"/>
      <c r="J22" s="3"/>
      <c r="K22" s="3"/>
    </row>
    <row r="23" spans="1:11">
      <c r="B23" s="116"/>
      <c r="C23" s="116"/>
      <c r="D23" s="116"/>
      <c r="E23" s="3"/>
      <c r="F23" s="3"/>
      <c r="G23" s="3"/>
      <c r="H23" s="3"/>
      <c r="I23" s="3"/>
      <c r="J23" s="3"/>
      <c r="K23" s="3"/>
    </row>
    <row r="24" spans="1:11">
      <c r="B24" s="116"/>
      <c r="C24" s="116"/>
      <c r="D24" s="116"/>
      <c r="E24" s="3"/>
      <c r="F24" s="3"/>
      <c r="G24" s="3"/>
      <c r="H24" s="3"/>
      <c r="I24" s="3"/>
      <c r="J24" s="3"/>
      <c r="K24" s="3"/>
    </row>
    <row r="25" spans="1:11" ht="15">
      <c r="A25" s="361" t="s">
        <v>17</v>
      </c>
      <c r="B25" s="5"/>
    </row>
    <row r="26" spans="1:11" ht="14.1" customHeight="1">
      <c r="A26" s="426" t="s">
        <v>18</v>
      </c>
      <c r="B26" s="426"/>
      <c r="C26" s="426"/>
      <c r="D26" s="426"/>
      <c r="E26" s="426"/>
      <c r="F26" s="426"/>
    </row>
    <row r="27" spans="1:11">
      <c r="A27" s="426" t="s">
        <v>19</v>
      </c>
      <c r="B27" s="426"/>
      <c r="C27" s="426"/>
      <c r="D27" s="426"/>
      <c r="E27" s="426"/>
      <c r="F27" s="3"/>
      <c r="G27" s="3"/>
      <c r="H27" s="3"/>
      <c r="I27" s="3"/>
    </row>
    <row r="28" spans="1:11">
      <c r="A28" s="426" t="s">
        <v>20</v>
      </c>
      <c r="B28" s="426"/>
      <c r="C28" s="426"/>
      <c r="D28" s="426"/>
      <c r="E28" s="426"/>
      <c r="F28" s="426"/>
      <c r="G28" s="426"/>
      <c r="H28" s="426"/>
      <c r="I28" s="3"/>
    </row>
    <row r="29" spans="1:11">
      <c r="A29" s="426" t="s">
        <v>21</v>
      </c>
      <c r="B29" s="426"/>
      <c r="C29" s="426"/>
      <c r="D29" s="426"/>
      <c r="E29" s="426"/>
      <c r="F29" s="426"/>
      <c r="G29" s="426"/>
      <c r="H29" s="426"/>
      <c r="I29" s="426"/>
    </row>
    <row r="30" spans="1:11">
      <c r="A30" s="426" t="s">
        <v>22</v>
      </c>
      <c r="B30" s="426"/>
      <c r="C30" s="426"/>
      <c r="D30" s="426"/>
      <c r="E30" s="3"/>
      <c r="F30" s="3"/>
      <c r="G30" s="3"/>
      <c r="H30" s="3"/>
      <c r="I30" s="3"/>
    </row>
    <row r="31" spans="1:11" ht="11.25" customHeight="1">
      <c r="B31" s="3"/>
      <c r="C31" s="3"/>
      <c r="D31" s="3"/>
    </row>
    <row r="32" spans="1:11">
      <c r="A32" s="19" t="s">
        <v>23</v>
      </c>
    </row>
    <row r="34" spans="1:5" ht="15">
      <c r="A34" s="315" t="s">
        <v>24</v>
      </c>
      <c r="B34" s="315"/>
      <c r="C34" s="368">
        <f>'2) Loss Analysis'!S81</f>
        <v>2.0820000000000002E-2</v>
      </c>
      <c r="E34" s="97"/>
    </row>
    <row r="35" spans="1:5" ht="15">
      <c r="A35" s="315" t="s">
        <v>25</v>
      </c>
      <c r="B35" s="315"/>
      <c r="C35" s="368">
        <f>'2) Loss Analysis'!S82</f>
        <v>-3.3999999999999998E-3</v>
      </c>
      <c r="E35" s="97"/>
    </row>
    <row r="36" spans="1:5" ht="15">
      <c r="A36" s="315" t="s">
        <v>26</v>
      </c>
      <c r="B36" s="315"/>
      <c r="C36" s="368">
        <f>'2) Loss Analysis'!S83</f>
        <v>2.23E-2</v>
      </c>
    </row>
    <row r="37" spans="1:5" ht="15">
      <c r="A37" s="361" t="s">
        <v>27</v>
      </c>
      <c r="B37" s="361"/>
      <c r="C37" s="371">
        <f>C44</f>
        <v>12969</v>
      </c>
    </row>
    <row r="38" spans="1:5">
      <c r="C38" s="367"/>
    </row>
    <row r="39" spans="1:5">
      <c r="A39" s="19" t="s">
        <v>28</v>
      </c>
      <c r="C39" s="367"/>
    </row>
    <row r="40" spans="1:5">
      <c r="C40" s="367"/>
      <c r="E40" s="97"/>
    </row>
    <row r="41" spans="1:5" ht="15">
      <c r="A41" s="315" t="s">
        <v>24</v>
      </c>
      <c r="B41" s="315"/>
      <c r="C41" s="368">
        <f>'2) Loss Analysis'!S73</f>
        <v>1.729E-2</v>
      </c>
      <c r="E41" s="97"/>
    </row>
    <row r="42" spans="1:5" ht="15">
      <c r="A42" s="315" t="s">
        <v>25</v>
      </c>
      <c r="B42" s="315"/>
      <c r="C42" s="368">
        <f>'2) Loss Analysis'!S74</f>
        <v>-8.0090000000000005E-3</v>
      </c>
      <c r="E42" s="97"/>
    </row>
    <row r="43" spans="1:5" ht="15">
      <c r="A43" s="315" t="s">
        <v>26</v>
      </c>
      <c r="B43" s="315"/>
      <c r="C43" s="368">
        <f>'2) Loss Analysis'!S75</f>
        <v>4.0499999999999998E-3</v>
      </c>
    </row>
    <row r="44" spans="1:5" ht="15">
      <c r="A44" s="361" t="s">
        <v>27</v>
      </c>
      <c r="B44" s="361"/>
      <c r="C44" s="320">
        <f>F60</f>
        <v>12969</v>
      </c>
    </row>
    <row r="45" spans="1:5" ht="15">
      <c r="A45" s="361"/>
      <c r="B45" s="361"/>
      <c r="C45" s="320"/>
    </row>
    <row r="46" spans="1:5" ht="15">
      <c r="B46" s="361"/>
      <c r="C46" s="320"/>
    </row>
    <row r="47" spans="1:5">
      <c r="A47" s="19" t="s">
        <v>29</v>
      </c>
    </row>
    <row r="48" spans="1:5">
      <c r="A48" s="81" t="s">
        <v>30</v>
      </c>
    </row>
    <row r="49" spans="1:8">
      <c r="A49" s="81" t="s">
        <v>31</v>
      </c>
      <c r="B49" s="81"/>
      <c r="C49" s="81"/>
      <c r="D49" s="81"/>
      <c r="E49" s="81"/>
      <c r="F49" s="81"/>
      <c r="G49" s="81"/>
    </row>
    <row r="50" spans="1:8">
      <c r="B50" s="81"/>
      <c r="C50" s="81"/>
      <c r="D50" s="81"/>
      <c r="H50" s="5"/>
    </row>
    <row r="51" spans="1:8">
      <c r="B51" s="19"/>
      <c r="C51" s="428" t="s">
        <v>32</v>
      </c>
      <c r="D51" s="428"/>
      <c r="H51" s="5"/>
    </row>
    <row r="52" spans="1:8">
      <c r="C52" s="107" t="s">
        <v>33</v>
      </c>
      <c r="D52" s="107" t="s">
        <v>34</v>
      </c>
      <c r="H52" s="5"/>
    </row>
    <row r="53" spans="1:8">
      <c r="A53" s="81" t="s">
        <v>35</v>
      </c>
      <c r="C53" s="321">
        <f>F57/F58</f>
        <v>2.0744538020261198</v>
      </c>
      <c r="D53" s="321">
        <f>F59/F60</f>
        <v>1.6445176960444137</v>
      </c>
    </row>
    <row r="54" spans="1:8">
      <c r="A54" s="81"/>
      <c r="C54" s="321"/>
      <c r="D54" s="321"/>
    </row>
    <row r="55" spans="1:8" ht="15">
      <c r="A55" s="364"/>
      <c r="B55" s="365" t="s">
        <v>36</v>
      </c>
      <c r="C55" s="366"/>
      <c r="D55" s="429" t="s">
        <v>37</v>
      </c>
      <c r="E55" s="430"/>
      <c r="F55" s="440" t="s">
        <v>38</v>
      </c>
      <c r="G55" s="441"/>
    </row>
    <row r="56" spans="1:8">
      <c r="A56" s="272"/>
      <c r="B56" s="342" t="s">
        <v>39</v>
      </c>
      <c r="C56" s="342" t="s">
        <v>40</v>
      </c>
      <c r="D56" s="273" t="s">
        <v>39</v>
      </c>
      <c r="E56" s="273" t="s">
        <v>40</v>
      </c>
      <c r="F56" s="273" t="s">
        <v>39</v>
      </c>
      <c r="G56" s="273" t="s">
        <v>40</v>
      </c>
    </row>
    <row r="57" spans="1:8">
      <c r="A57" s="274" t="s">
        <v>41</v>
      </c>
      <c r="B57" s="275">
        <f>C57/4</f>
        <v>4110.5</v>
      </c>
      <c r="C57" s="276">
        <v>16442</v>
      </c>
      <c r="D57" s="275">
        <f>E57/4</f>
        <v>4422</v>
      </c>
      <c r="E57" s="276">
        <v>17688</v>
      </c>
      <c r="F57" s="252">
        <f>G57/4</f>
        <v>4249</v>
      </c>
      <c r="G57" s="281">
        <v>16996</v>
      </c>
    </row>
    <row r="58" spans="1:8">
      <c r="A58" s="274" t="s">
        <v>42</v>
      </c>
      <c r="B58" s="275">
        <f>C58/4</f>
        <v>2043.25</v>
      </c>
      <c r="C58" s="276">
        <v>8173</v>
      </c>
      <c r="D58" s="275">
        <f>E58/4</f>
        <v>2077.5</v>
      </c>
      <c r="E58" s="276">
        <v>8310</v>
      </c>
      <c r="F58" s="252">
        <f>G58/4</f>
        <v>2048.25</v>
      </c>
      <c r="G58" s="281">
        <v>8193</v>
      </c>
    </row>
    <row r="59" spans="1:8">
      <c r="A59" s="274" t="s">
        <v>43</v>
      </c>
      <c r="B59" s="275">
        <f>C59/4</f>
        <v>20058.25</v>
      </c>
      <c r="C59" s="276">
        <v>80233</v>
      </c>
      <c r="D59" s="275">
        <f>E59/4</f>
        <v>21394.75</v>
      </c>
      <c r="E59" s="276">
        <v>85579</v>
      </c>
      <c r="F59" s="252">
        <f>G59/4</f>
        <v>21327.75</v>
      </c>
      <c r="G59" s="281">
        <v>85311</v>
      </c>
    </row>
    <row r="60" spans="1:8">
      <c r="A60" s="277" t="s">
        <v>44</v>
      </c>
      <c r="B60" s="278">
        <v>12069</v>
      </c>
      <c r="C60" s="279">
        <f>B60*4</f>
        <v>48276</v>
      </c>
      <c r="D60" s="278">
        <v>12450</v>
      </c>
      <c r="E60" s="279">
        <f>D60*4</f>
        <v>49800</v>
      </c>
      <c r="F60" s="253">
        <v>12969</v>
      </c>
      <c r="G60" s="282">
        <f>F60*4</f>
        <v>51876</v>
      </c>
    </row>
    <row r="61" spans="1:8">
      <c r="A61" s="1"/>
      <c r="B61" s="1"/>
      <c r="C61" s="5"/>
      <c r="D61" s="87"/>
    </row>
    <row r="62" spans="1:8">
      <c r="A62" s="81" t="s">
        <v>45</v>
      </c>
    </row>
    <row r="63" spans="1:8">
      <c r="A63" s="5" t="s">
        <v>46</v>
      </c>
    </row>
    <row r="65" spans="1:10" ht="15">
      <c r="A65" s="76" t="s">
        <v>47</v>
      </c>
    </row>
    <row r="66" spans="1:10">
      <c r="A66" t="s">
        <v>48</v>
      </c>
    </row>
    <row r="67" spans="1:10">
      <c r="A67" t="s">
        <v>49</v>
      </c>
    </row>
    <row r="68" spans="1:10">
      <c r="A68" s="5" t="s">
        <v>50</v>
      </c>
    </row>
    <row r="70" spans="1:10" ht="14.25">
      <c r="C70" s="74" t="s">
        <v>51</v>
      </c>
      <c r="D70" s="1" t="s">
        <v>52</v>
      </c>
    </row>
    <row r="71" spans="1:10">
      <c r="D71" s="1" t="s">
        <v>53</v>
      </c>
    </row>
    <row r="72" spans="1:10">
      <c r="D72" s="1" t="s">
        <v>54</v>
      </c>
    </row>
    <row r="73" spans="1:10">
      <c r="D73" s="83" t="s">
        <v>55</v>
      </c>
    </row>
    <row r="75" spans="1:10" ht="15" customHeight="1">
      <c r="B75" s="88" t="s">
        <v>56</v>
      </c>
      <c r="C75" s="88"/>
      <c r="D75" s="88"/>
      <c r="E75" s="88"/>
      <c r="F75" s="88"/>
      <c r="G75" s="88"/>
      <c r="H75" s="88"/>
      <c r="I75" s="3"/>
    </row>
    <row r="76" spans="1:10" ht="15" customHeight="1">
      <c r="B76" s="1"/>
    </row>
    <row r="77" spans="1:10">
      <c r="A77" s="88" t="s">
        <v>57</v>
      </c>
      <c r="B77" s="88"/>
      <c r="C77" s="88"/>
      <c r="D77" s="88"/>
      <c r="E77" s="88"/>
      <c r="F77" s="88"/>
      <c r="G77" s="88"/>
      <c r="H77" s="88"/>
      <c r="I77" s="73">
        <f>F1</f>
        <v>2025</v>
      </c>
    </row>
    <row r="78" spans="1:10">
      <c r="B78" s="3" t="s">
        <v>58</v>
      </c>
      <c r="C78" s="3"/>
      <c r="D78" s="3"/>
      <c r="E78" s="3"/>
      <c r="F78" s="3"/>
      <c r="G78" s="3"/>
      <c r="H78" s="3"/>
      <c r="I78" s="3"/>
      <c r="J78" s="3"/>
    </row>
    <row r="79" spans="1:10">
      <c r="B79" s="3" t="s">
        <v>59</v>
      </c>
      <c r="C79" s="3"/>
      <c r="D79" s="3"/>
      <c r="E79" s="3"/>
      <c r="F79" s="3"/>
      <c r="G79" s="3"/>
      <c r="H79" s="3"/>
      <c r="I79" s="3"/>
      <c r="J79" s="3"/>
    </row>
    <row r="80" spans="1:10">
      <c r="B80" s="427" t="s">
        <v>60</v>
      </c>
      <c r="C80" s="427"/>
      <c r="D80" s="73">
        <f>'3) Loss Equations'!E21</f>
        <v>19.167000000000002</v>
      </c>
      <c r="E80" s="5" t="s">
        <v>61</v>
      </c>
    </row>
    <row r="81" spans="1:12">
      <c r="B81" s="81" t="s">
        <v>62</v>
      </c>
      <c r="C81" s="81"/>
      <c r="D81" s="81"/>
      <c r="E81" s="81"/>
      <c r="F81" s="81"/>
      <c r="G81" s="81"/>
      <c r="H81" s="81"/>
    </row>
    <row r="82" spans="1:12" ht="12.75" customHeight="1">
      <c r="B82" s="5" t="s">
        <v>63</v>
      </c>
      <c r="C82" s="73">
        <f>'3) Loss Equations'!E22</f>
        <v>66.757000000000005</v>
      </c>
      <c r="D82" s="73" t="s">
        <v>64</v>
      </c>
      <c r="E82" s="73">
        <f>D80</f>
        <v>19.167000000000002</v>
      </c>
      <c r="F82" s="81" t="s">
        <v>65</v>
      </c>
      <c r="G82" s="164"/>
      <c r="H82" s="164"/>
      <c r="I82" s="164"/>
      <c r="J82" s="164"/>
    </row>
    <row r="83" spans="1:12">
      <c r="B83" s="427" t="s">
        <v>66</v>
      </c>
      <c r="C83" s="427"/>
      <c r="D83" s="73">
        <f>'3) Loss Equations'!E21+'3) Loss Equations'!E22</f>
        <v>85.924000000000007</v>
      </c>
      <c r="E83" s="432" t="s">
        <v>67</v>
      </c>
      <c r="F83" s="432"/>
      <c r="G83" s="432"/>
      <c r="H83" s="432"/>
      <c r="I83" s="15">
        <f>'3) Loss Equations'!E24</f>
        <v>21515</v>
      </c>
      <c r="J83" s="427" t="s">
        <v>68</v>
      </c>
      <c r="K83" s="427"/>
      <c r="L83" s="427"/>
    </row>
    <row r="84" spans="1:12">
      <c r="B84" s="81" t="s">
        <v>69</v>
      </c>
      <c r="C84" s="81"/>
      <c r="D84" s="81"/>
      <c r="E84" s="81"/>
      <c r="F84" s="81"/>
      <c r="G84" s="81"/>
    </row>
    <row r="85" spans="1:12">
      <c r="B85" s="81"/>
      <c r="C85" s="81"/>
      <c r="D85" s="81"/>
      <c r="E85" s="81"/>
      <c r="F85" s="81"/>
      <c r="G85" s="81"/>
    </row>
    <row r="86" spans="1:12">
      <c r="A86" s="88" t="s">
        <v>70</v>
      </c>
      <c r="B86" s="88"/>
      <c r="C86" s="88"/>
      <c r="D86" s="88"/>
      <c r="E86" s="88"/>
      <c r="F86" s="88"/>
      <c r="G86" s="88"/>
      <c r="H86" s="1"/>
      <c r="I86" s="1"/>
      <c r="J86" s="1"/>
    </row>
    <row r="87" spans="1:12">
      <c r="B87" s="81" t="s">
        <v>71</v>
      </c>
      <c r="C87" s="81"/>
      <c r="D87" s="81"/>
      <c r="E87" s="81"/>
      <c r="F87" s="81"/>
      <c r="G87" s="81"/>
      <c r="H87" s="81"/>
      <c r="I87" s="81"/>
      <c r="J87" s="81"/>
    </row>
    <row r="88" spans="1:12">
      <c r="B88" s="3" t="s">
        <v>72</v>
      </c>
      <c r="C88" s="3"/>
      <c r="D88" s="3"/>
      <c r="E88" s="3"/>
      <c r="F88" s="3"/>
      <c r="G88" s="3"/>
      <c r="H88" s="3"/>
      <c r="I88" s="3"/>
    </row>
    <row r="89" spans="1:12">
      <c r="B89" s="3" t="s">
        <v>73</v>
      </c>
      <c r="C89" s="3"/>
      <c r="D89" s="3"/>
      <c r="E89" s="3"/>
      <c r="F89" s="3"/>
      <c r="G89" s="3"/>
      <c r="H89" s="3"/>
      <c r="I89" s="3"/>
    </row>
    <row r="90" spans="1:12">
      <c r="B90" s="3" t="s">
        <v>74</v>
      </c>
      <c r="C90" s="3"/>
      <c r="D90" s="3"/>
      <c r="E90" s="3"/>
      <c r="F90" s="3"/>
    </row>
    <row r="91" spans="1:12">
      <c r="B91" s="73" t="s">
        <v>75</v>
      </c>
      <c r="C91" s="73">
        <f>F1</f>
        <v>2025</v>
      </c>
      <c r="D91" s="5" t="s">
        <v>76</v>
      </c>
      <c r="E91" s="5"/>
      <c r="F91" s="5"/>
    </row>
    <row r="92" spans="1:12">
      <c r="B92" s="81"/>
      <c r="C92" s="81"/>
      <c r="D92" s="81"/>
      <c r="E92" s="81"/>
      <c r="F92" s="81"/>
    </row>
    <row r="93" spans="1:12">
      <c r="A93" s="433" t="s">
        <v>77</v>
      </c>
      <c r="B93" s="433"/>
      <c r="C93" s="433"/>
      <c r="D93" s="433"/>
      <c r="E93" s="433"/>
      <c r="F93" s="433"/>
      <c r="G93" s="433"/>
      <c r="H93" s="74"/>
      <c r="I93" s="81">
        <f>F1</f>
        <v>2025</v>
      </c>
      <c r="J93" s="1"/>
    </row>
    <row r="94" spans="1:12">
      <c r="A94" s="3"/>
      <c r="B94" s="3" t="s">
        <v>78</v>
      </c>
      <c r="C94" s="3"/>
      <c r="D94" s="3"/>
      <c r="E94" s="3"/>
      <c r="F94" s="3"/>
      <c r="G94" s="3"/>
      <c r="H94" s="3"/>
      <c r="I94" s="3"/>
    </row>
    <row r="95" spans="1:12" ht="13.5" customHeight="1">
      <c r="A95" s="3"/>
      <c r="B95" s="3" t="s">
        <v>79</v>
      </c>
      <c r="C95" s="3"/>
      <c r="D95" s="3"/>
      <c r="E95" s="3"/>
      <c r="F95" s="3"/>
      <c r="G95" s="3"/>
      <c r="H95" s="3"/>
      <c r="I95" s="3"/>
    </row>
    <row r="96" spans="1:12">
      <c r="A96" s="3"/>
      <c r="B96" s="3" t="s">
        <v>80</v>
      </c>
      <c r="C96" s="3"/>
      <c r="D96" s="3"/>
      <c r="E96" s="3"/>
      <c r="F96" s="3"/>
      <c r="G96" s="3"/>
      <c r="H96" s="3"/>
      <c r="I96" s="3"/>
      <c r="J96" s="3"/>
    </row>
    <row r="97" spans="1:10">
      <c r="A97" s="3"/>
      <c r="B97" s="3" t="s">
        <v>81</v>
      </c>
      <c r="C97" s="3"/>
      <c r="D97" s="3"/>
      <c r="E97" s="3"/>
      <c r="F97" s="3"/>
      <c r="G97" s="3"/>
      <c r="H97" s="3"/>
      <c r="I97" s="3"/>
    </row>
    <row r="98" spans="1:10">
      <c r="A98" s="3"/>
      <c r="B98" s="81" t="s">
        <v>82</v>
      </c>
      <c r="C98" s="81"/>
      <c r="D98" s="81"/>
      <c r="E98" s="81"/>
      <c r="F98" s="81"/>
      <c r="G98" s="81"/>
      <c r="H98" s="81"/>
      <c r="I98" s="81"/>
    </row>
    <row r="99" spans="1:10">
      <c r="A99" s="3"/>
      <c r="B99" s="3" t="s">
        <v>83</v>
      </c>
      <c r="C99" s="3"/>
      <c r="D99" s="3"/>
      <c r="E99" s="3"/>
      <c r="F99" s="3"/>
      <c r="G99" s="3"/>
      <c r="H99" s="3"/>
      <c r="I99" s="3"/>
    </row>
    <row r="100" spans="1:10">
      <c r="A100" s="3"/>
      <c r="B100" s="81" t="s">
        <v>84</v>
      </c>
      <c r="C100" s="81"/>
      <c r="D100" s="81"/>
      <c r="E100" s="81"/>
      <c r="F100" s="81"/>
      <c r="G100" s="81"/>
      <c r="H100" s="81"/>
      <c r="I100" s="81"/>
    </row>
    <row r="101" spans="1:10">
      <c r="A101" s="3"/>
      <c r="B101" s="81" t="s">
        <v>85</v>
      </c>
      <c r="C101" s="81"/>
      <c r="D101" s="81"/>
      <c r="E101" s="81"/>
      <c r="F101" s="81"/>
      <c r="G101" s="81"/>
      <c r="H101" s="81"/>
      <c r="I101" s="81"/>
    </row>
    <row r="102" spans="1:10">
      <c r="A102" s="3"/>
      <c r="B102" s="81" t="s">
        <v>86</v>
      </c>
      <c r="C102" s="81"/>
      <c r="D102" s="81"/>
      <c r="E102" s="81"/>
      <c r="F102" s="81"/>
      <c r="G102" s="81"/>
      <c r="H102" s="3"/>
      <c r="I102" s="3"/>
    </row>
    <row r="103" spans="1:10">
      <c r="A103" s="88" t="s">
        <v>87</v>
      </c>
      <c r="B103" s="88"/>
      <c r="C103" s="88"/>
      <c r="D103" s="88"/>
      <c r="E103" s="88"/>
      <c r="F103" s="88"/>
      <c r="G103" s="88"/>
      <c r="H103" s="81">
        <f>F1</f>
        <v>2025</v>
      </c>
      <c r="I103" s="1"/>
      <c r="J103" s="1"/>
    </row>
    <row r="104" spans="1:10">
      <c r="A104" s="3"/>
      <c r="B104" s="5" t="s">
        <v>88</v>
      </c>
    </row>
    <row r="105" spans="1:10">
      <c r="A105" s="3"/>
    </row>
    <row r="106" spans="1:10">
      <c r="A106" s="88" t="s">
        <v>89</v>
      </c>
      <c r="B106" s="88"/>
    </row>
    <row r="107" spans="1:10">
      <c r="A107" s="3"/>
      <c r="B107" s="79" t="s">
        <v>90</v>
      </c>
      <c r="C107" s="280">
        <f>F60</f>
        <v>12969</v>
      </c>
      <c r="D107" s="5" t="s">
        <v>91</v>
      </c>
      <c r="E107" s="5"/>
    </row>
    <row r="108" spans="1:10">
      <c r="A108" s="3"/>
      <c r="B108" s="5"/>
    </row>
    <row r="109" spans="1:10">
      <c r="A109" s="88" t="s">
        <v>92</v>
      </c>
      <c r="B109" s="88"/>
      <c r="C109" s="88"/>
    </row>
    <row r="110" spans="1:10">
      <c r="A110" s="3"/>
    </row>
    <row r="111" spans="1:10">
      <c r="A111" s="3" t="s">
        <v>93</v>
      </c>
      <c r="B111" s="3"/>
      <c r="C111" s="3"/>
      <c r="D111" s="3"/>
      <c r="E111" s="3"/>
      <c r="F111" s="3"/>
      <c r="G111" s="3"/>
      <c r="H111" s="3"/>
      <c r="I111" s="3"/>
      <c r="J111" s="3"/>
    </row>
    <row r="112" spans="1:10">
      <c r="A112" s="3" t="s">
        <v>94</v>
      </c>
      <c r="B112" s="3"/>
      <c r="C112" s="3"/>
      <c r="D112" s="3"/>
      <c r="E112" s="3"/>
      <c r="F112" s="3"/>
      <c r="G112" s="3"/>
      <c r="H112" s="3"/>
      <c r="I112" s="3"/>
      <c r="J112" s="3"/>
    </row>
    <row r="113" spans="1:13">
      <c r="A113" s="81" t="s">
        <v>95</v>
      </c>
      <c r="B113" s="81"/>
      <c r="C113" s="81"/>
      <c r="D113" s="81"/>
      <c r="E113" s="81"/>
      <c r="F113" s="81"/>
      <c r="G113" s="81"/>
      <c r="H113" s="81"/>
      <c r="I113" s="81"/>
      <c r="J113" s="81"/>
    </row>
    <row r="114" spans="1:13">
      <c r="A114" s="81" t="s">
        <v>96</v>
      </c>
      <c r="B114" s="81"/>
      <c r="C114" s="81"/>
      <c r="D114" s="81"/>
      <c r="E114" s="81"/>
      <c r="F114" s="81"/>
      <c r="G114" s="81"/>
      <c r="H114" s="81"/>
      <c r="I114" s="81"/>
      <c r="J114" s="81"/>
    </row>
    <row r="115" spans="1:13" ht="12" customHeight="1"/>
    <row r="116" spans="1:13" ht="15">
      <c r="A116" s="363" t="s">
        <v>97</v>
      </c>
      <c r="B116" s="363"/>
      <c r="C116" s="240"/>
      <c r="D116" s="240"/>
      <c r="E116" s="240"/>
      <c r="F116" s="240"/>
      <c r="G116" s="240"/>
      <c r="H116" s="240"/>
      <c r="I116" s="240"/>
      <c r="J116" s="248"/>
    </row>
    <row r="117" spans="1:13" ht="15">
      <c r="A117" s="362" t="s">
        <v>28</v>
      </c>
      <c r="B117" s="362"/>
      <c r="C117" s="285"/>
      <c r="D117" s="286">
        <v>2018</v>
      </c>
      <c r="E117" s="331">
        <v>2019</v>
      </c>
      <c r="F117" s="331">
        <v>2020</v>
      </c>
      <c r="G117" s="331">
        <v>2021</v>
      </c>
      <c r="H117" s="291">
        <v>2022</v>
      </c>
      <c r="I117" s="291">
        <v>2023</v>
      </c>
      <c r="J117" s="370" t="s">
        <v>98</v>
      </c>
    </row>
    <row r="118" spans="1:13">
      <c r="A118" s="240"/>
      <c r="B118" s="240"/>
      <c r="C118" s="287" t="s">
        <v>99</v>
      </c>
      <c r="D118" s="288">
        <v>1.2999999999999999E-2</v>
      </c>
      <c r="E118" s="332">
        <v>1.2699999999999999E-2</v>
      </c>
      <c r="F118" s="332">
        <v>1.286E-2</v>
      </c>
      <c r="G118" s="332">
        <v>1.252E-2</v>
      </c>
      <c r="H118" s="288">
        <v>1.3339999999999999E-2</v>
      </c>
      <c r="I118" s="288">
        <v>1.338E-2</v>
      </c>
      <c r="J118" s="288">
        <f>'2) Loss Analysis'!S56</f>
        <v>1.3330999999999999E-2</v>
      </c>
    </row>
    <row r="119" spans="1:13">
      <c r="A119" s="289"/>
      <c r="B119" s="240"/>
      <c r="C119" s="290" t="s">
        <v>100</v>
      </c>
      <c r="D119" s="288">
        <v>2.155E-2</v>
      </c>
      <c r="E119" s="332">
        <v>2.1569999999999999E-2</v>
      </c>
      <c r="F119" s="332">
        <v>2.18E-2</v>
      </c>
      <c r="G119" s="332">
        <v>2.1309999999999999E-2</v>
      </c>
      <c r="H119" s="288">
        <v>2.2620000000000001E-2</v>
      </c>
      <c r="I119" s="369">
        <v>2.3949999999999999E-2</v>
      </c>
      <c r="J119" s="369">
        <f>'2) Loss Analysis'!S57</f>
        <v>2.2887439100487225E-2</v>
      </c>
    </row>
    <row r="120" spans="1:13" ht="14.25">
      <c r="A120" s="289"/>
      <c r="B120" s="240"/>
      <c r="C120" s="285"/>
      <c r="D120" s="291"/>
      <c r="E120" s="332"/>
      <c r="F120" s="332"/>
      <c r="G120" s="332"/>
      <c r="H120" s="291"/>
      <c r="I120" s="248"/>
      <c r="J120" s="248"/>
    </row>
    <row r="121" spans="1:13" ht="15">
      <c r="A121" s="360" t="s">
        <v>23</v>
      </c>
      <c r="B121" s="360"/>
      <c r="C121" s="360"/>
      <c r="D121" s="286">
        <v>2018</v>
      </c>
      <c r="E121" s="286">
        <v>2019</v>
      </c>
      <c r="F121" s="286">
        <v>2020</v>
      </c>
      <c r="G121" s="331">
        <v>2021</v>
      </c>
      <c r="H121" s="291">
        <v>2022</v>
      </c>
      <c r="I121" s="291">
        <v>2023</v>
      </c>
      <c r="J121" s="370" t="s">
        <v>98</v>
      </c>
    </row>
    <row r="122" spans="1:13">
      <c r="A122" s="240"/>
      <c r="B122" s="240"/>
      <c r="C122" s="287" t="s">
        <v>99</v>
      </c>
      <c r="D122" s="288">
        <v>3.8159999999999999E-2</v>
      </c>
      <c r="E122" s="332">
        <v>3.8379999999999997E-2</v>
      </c>
      <c r="F122" s="332">
        <v>3.8370000000000001E-2</v>
      </c>
      <c r="G122" s="332">
        <v>3.8699999999999998E-2</v>
      </c>
      <c r="H122" s="288">
        <v>3.8019999999999998E-2</v>
      </c>
      <c r="I122" s="369">
        <v>3.9690000000000003E-2</v>
      </c>
      <c r="J122" s="369">
        <f>'2) Loss Analysis'!R56</f>
        <v>3.9720000000000005E-2</v>
      </c>
    </row>
    <row r="123" spans="1:13">
      <c r="A123" s="289"/>
      <c r="B123" s="240"/>
      <c r="C123" s="290" t="s">
        <v>100</v>
      </c>
      <c r="D123" s="288">
        <v>4.2590000000000003E-2</v>
      </c>
      <c r="E123" s="332">
        <v>4.2889999999999998E-2</v>
      </c>
      <c r="F123" s="332">
        <v>4.3029999999999999E-2</v>
      </c>
      <c r="G123" s="332">
        <v>4.24E-2</v>
      </c>
      <c r="H123" s="288">
        <v>4.367E-2</v>
      </c>
      <c r="I123" s="332">
        <v>4.5530000000000001E-2</v>
      </c>
      <c r="J123" s="332">
        <f>'2) Loss Analysis'!R57</f>
        <v>4.4399065204511035E-2</v>
      </c>
    </row>
    <row r="124" spans="1:13">
      <c r="A124" s="3"/>
    </row>
    <row r="125" spans="1:13">
      <c r="A125" s="3"/>
    </row>
    <row r="126" spans="1:13">
      <c r="A126" s="1" t="s">
        <v>101</v>
      </c>
    </row>
    <row r="127" spans="1:13">
      <c r="A127" s="81" t="s">
        <v>102</v>
      </c>
      <c r="B127" s="81"/>
      <c r="C127" s="81"/>
      <c r="D127" s="81"/>
      <c r="E127" s="81"/>
      <c r="F127" s="81"/>
      <c r="G127" s="81"/>
      <c r="H127" s="5"/>
      <c r="I127" s="5"/>
      <c r="J127" s="5"/>
      <c r="K127" s="6"/>
      <c r="L127" s="6"/>
      <c r="M127" s="1"/>
    </row>
    <row r="128" spans="1:13">
      <c r="A128" s="81" t="s">
        <v>103</v>
      </c>
      <c r="B128" s="81"/>
      <c r="C128" s="81"/>
      <c r="D128" s="81"/>
      <c r="E128" s="81"/>
      <c r="F128" s="81"/>
      <c r="G128" s="81"/>
      <c r="H128" s="81"/>
      <c r="I128" s="81"/>
      <c r="J128" s="5"/>
      <c r="K128" s="136"/>
      <c r="L128" s="136"/>
      <c r="M128" s="235"/>
    </row>
    <row r="129" spans="6:13">
      <c r="F129" s="439"/>
      <c r="G129" s="439"/>
      <c r="H129" s="439"/>
      <c r="I129" s="439"/>
      <c r="J129" s="271"/>
      <c r="K129" s="136"/>
      <c r="L129" s="136"/>
      <c r="M129" s="235"/>
    </row>
    <row r="130" spans="6:13">
      <c r="F130" s="438"/>
      <c r="G130" s="438"/>
      <c r="H130" s="438"/>
      <c r="I130" s="438"/>
      <c r="J130" s="438"/>
      <c r="K130" s="136"/>
      <c r="L130" s="136"/>
      <c r="M130" s="235"/>
    </row>
    <row r="131" spans="6:13">
      <c r="G131" s="123"/>
    </row>
  </sheetData>
  <mergeCells count="34">
    <mergeCell ref="A93:G93"/>
    <mergeCell ref="A28:H28"/>
    <mergeCell ref="A30:D30"/>
    <mergeCell ref="F130:J130"/>
    <mergeCell ref="B83:C83"/>
    <mergeCell ref="E83:H83"/>
    <mergeCell ref="J83:L83"/>
    <mergeCell ref="F129:I129"/>
    <mergeCell ref="A29:I29"/>
    <mergeCell ref="F55:G55"/>
    <mergeCell ref="A1:E1"/>
    <mergeCell ref="A6:J6"/>
    <mergeCell ref="A7:J7"/>
    <mergeCell ref="A8:E8"/>
    <mergeCell ref="A10:J10"/>
    <mergeCell ref="B3:E3"/>
    <mergeCell ref="A5:E5"/>
    <mergeCell ref="B20:H20"/>
    <mergeCell ref="B14:E14"/>
    <mergeCell ref="A11:J11"/>
    <mergeCell ref="B16:C16"/>
    <mergeCell ref="A12:B12"/>
    <mergeCell ref="P2:S2"/>
    <mergeCell ref="P3:S3"/>
    <mergeCell ref="B17:E17"/>
    <mergeCell ref="B18:E18"/>
    <mergeCell ref="B19:G19"/>
    <mergeCell ref="B21:K21"/>
    <mergeCell ref="A26:F26"/>
    <mergeCell ref="B80:C80"/>
    <mergeCell ref="C51:D51"/>
    <mergeCell ref="A27:E27"/>
    <mergeCell ref="D55:E55"/>
    <mergeCell ref="B22:D22"/>
  </mergeCells>
  <phoneticPr fontId="13" type="noConversion"/>
  <pageMargins left="0.75" right="0.75" top="0.75" bottom="0.75" header="0" footer="0"/>
  <pageSetup scale="6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37AB9-B782-4CF0-B6B7-A2FFFB2E2367}">
  <sheetPr>
    <pageSetUpPr fitToPage="1"/>
  </sheetPr>
  <dimension ref="A1:U26"/>
  <sheetViews>
    <sheetView zoomScale="75" workbookViewId="0"/>
  </sheetViews>
  <sheetFormatPr defaultRowHeight="12.75"/>
  <cols>
    <col min="1" max="1" width="7.7109375" style="2" customWidth="1"/>
    <col min="2" max="2" width="12" style="2" customWidth="1"/>
    <col min="3" max="10" width="14.7109375" customWidth="1"/>
    <col min="11" max="11" width="14.5703125" style="2" customWidth="1"/>
    <col min="12" max="12" width="15.140625" customWidth="1"/>
    <col min="13" max="13" width="14.7109375" customWidth="1"/>
  </cols>
  <sheetData>
    <row r="1" spans="1:21" ht="15.75">
      <c r="A1" s="43" t="s">
        <v>104</v>
      </c>
      <c r="F1" s="45" t="s">
        <v>105</v>
      </c>
    </row>
    <row r="2" spans="1:21" ht="15.75">
      <c r="A2" s="43"/>
      <c r="F2" s="45"/>
    </row>
    <row r="3" spans="1:21">
      <c r="C3" s="3" t="s">
        <v>106</v>
      </c>
      <c r="D3" s="27"/>
      <c r="E3" s="3" t="s">
        <v>107</v>
      </c>
      <c r="F3" s="2"/>
      <c r="G3" s="3" t="s">
        <v>108</v>
      </c>
      <c r="H3" s="3"/>
      <c r="I3" s="3" t="s">
        <v>109</v>
      </c>
      <c r="J3" s="2"/>
    </row>
    <row r="4" spans="1:21">
      <c r="C4" s="33" t="s">
        <v>110</v>
      </c>
      <c r="D4" s="34" t="s">
        <v>111</v>
      </c>
      <c r="E4" s="33" t="s">
        <v>110</v>
      </c>
      <c r="F4" s="34" t="s">
        <v>111</v>
      </c>
      <c r="G4" s="33" t="s">
        <v>110</v>
      </c>
      <c r="H4" s="34" t="s">
        <v>111</v>
      </c>
      <c r="I4" s="33" t="s">
        <v>110</v>
      </c>
      <c r="J4" s="34" t="s">
        <v>111</v>
      </c>
    </row>
    <row r="5" spans="1:21">
      <c r="B5" s="2">
        <v>1995</v>
      </c>
      <c r="C5" s="44">
        <f>+'Loss Analysis 1995'!B36</f>
        <v>17.273</v>
      </c>
      <c r="D5" s="44">
        <f>+'Loss Analysis 1995'!C36</f>
        <v>3.4176000000000001E-7</v>
      </c>
      <c r="E5" s="44">
        <f>+'Loss Analysis 1995'!D36</f>
        <v>0</v>
      </c>
      <c r="F5" s="44">
        <f>+'Loss Analysis 1995'!E36</f>
        <v>1.0499999999999999E-6</v>
      </c>
      <c r="G5" s="44">
        <f>+'Loss Analysis 1995'!F36</f>
        <v>97.167000000000002</v>
      </c>
      <c r="H5" s="44">
        <f>+'Loss Analysis 1995'!G36</f>
        <v>5.8780000000000001E-7</v>
      </c>
      <c r="I5" s="44">
        <f>+'Loss Analysis 1995'!H36</f>
        <v>0</v>
      </c>
      <c r="J5" s="44">
        <f>+'Loss Analysis 1995'!I36</f>
        <v>4.2553199999999998E-7</v>
      </c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>
      <c r="B6" s="2">
        <v>2001</v>
      </c>
      <c r="C6" s="42" t="e">
        <f>+#REF!</f>
        <v>#REF!</v>
      </c>
      <c r="D6" s="42" t="e">
        <f>+#REF!</f>
        <v>#REF!</v>
      </c>
      <c r="E6" s="42" t="e">
        <f>+#REF!</f>
        <v>#REF!</v>
      </c>
      <c r="F6" s="42" t="e">
        <f>+#REF!</f>
        <v>#REF!</v>
      </c>
      <c r="G6" s="42" t="e">
        <f>+#REF!</f>
        <v>#REF!</v>
      </c>
      <c r="H6" s="42" t="e">
        <f>+#REF!</f>
        <v>#REF!</v>
      </c>
      <c r="I6" s="42" t="e">
        <f>+#REF!</f>
        <v>#REF!</v>
      </c>
      <c r="J6" s="42" t="e">
        <f>+#REF!</f>
        <v>#REF!</v>
      </c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>
      <c r="B7" s="2" t="s">
        <v>112</v>
      </c>
      <c r="C7" s="42" t="e">
        <f>+'Loss Analysis 2001 Mod'!B36</f>
        <v>#REF!</v>
      </c>
      <c r="D7" s="42" t="e">
        <f>+'Loss Analysis 2001 Mod'!C36</f>
        <v>#REF!</v>
      </c>
      <c r="E7" s="42">
        <f>+'Loss Analysis 2001 Mod'!D36</f>
        <v>0</v>
      </c>
      <c r="F7" s="42">
        <f>+'Loss Analysis 2001 Mod'!E36</f>
        <v>1.4130000000000001E-6</v>
      </c>
      <c r="G7" s="42" t="e">
        <f>+'Loss Analysis 2001 Mod'!F36</f>
        <v>#REF!</v>
      </c>
      <c r="H7" s="42" t="e">
        <f>+'Loss Analysis 2001 Mod'!G36</f>
        <v>#REF!</v>
      </c>
      <c r="I7" s="42">
        <f>+'Loss Analysis 2001 Mod'!H36</f>
        <v>0</v>
      </c>
      <c r="J7" s="42" t="e">
        <f>+'Loss Analysis 2001 Mod'!I36</f>
        <v>#REF!</v>
      </c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>
      <c r="C8" s="13"/>
      <c r="D8" s="13"/>
      <c r="E8" s="13"/>
      <c r="F8" s="13"/>
      <c r="G8" s="13"/>
      <c r="H8" s="13"/>
      <c r="I8" s="13"/>
      <c r="J8" s="13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2" customFormat="1"/>
    <row r="11" spans="1:21" s="2" customFormat="1">
      <c r="A11" s="46"/>
      <c r="B11" s="47" t="s">
        <v>113</v>
      </c>
      <c r="C11" s="48"/>
      <c r="D11" s="57" t="s">
        <v>114</v>
      </c>
      <c r="E11" s="48"/>
      <c r="F11" s="57" t="s">
        <v>115</v>
      </c>
      <c r="G11" s="48"/>
      <c r="H11" s="57" t="s">
        <v>116</v>
      </c>
      <c r="I11" s="48"/>
      <c r="J11" s="57" t="s">
        <v>117</v>
      </c>
      <c r="K11" s="48"/>
      <c r="L11" s="51" t="s">
        <v>118</v>
      </c>
      <c r="M11" s="48" t="s">
        <v>118</v>
      </c>
    </row>
    <row r="12" spans="1:21">
      <c r="A12" s="31"/>
      <c r="B12" s="49" t="s">
        <v>119</v>
      </c>
      <c r="C12" s="58"/>
      <c r="D12" s="52" t="s">
        <v>119</v>
      </c>
      <c r="E12" s="50" t="s">
        <v>120</v>
      </c>
      <c r="F12" s="52" t="s">
        <v>119</v>
      </c>
      <c r="G12" s="50" t="s">
        <v>120</v>
      </c>
      <c r="H12" s="52" t="s">
        <v>119</v>
      </c>
      <c r="I12" s="50" t="s">
        <v>120</v>
      </c>
      <c r="J12" s="52" t="s">
        <v>119</v>
      </c>
      <c r="K12" s="50" t="s">
        <v>120</v>
      </c>
      <c r="L12" s="52" t="s">
        <v>119</v>
      </c>
      <c r="M12" s="50" t="s">
        <v>120</v>
      </c>
      <c r="N12" s="2"/>
      <c r="O12" s="2"/>
      <c r="P12" s="2"/>
      <c r="Q12" s="2"/>
      <c r="R12" s="2"/>
      <c r="S12" s="2"/>
      <c r="T12" s="2"/>
      <c r="U12" s="2"/>
    </row>
    <row r="13" spans="1:21">
      <c r="A13" s="36">
        <v>1995</v>
      </c>
      <c r="B13" s="2">
        <f>+'Loss Analysis 1995'!B9</f>
        <v>4000</v>
      </c>
      <c r="C13" s="59"/>
      <c r="D13" s="53">
        <f>+'Loss Analysis 1995'!C9</f>
        <v>22.741160000000001</v>
      </c>
      <c r="E13" s="54">
        <f>+D13/$B$13</f>
        <v>5.68529E-3</v>
      </c>
      <c r="F13" s="53">
        <f>+'Loss Analysis 1995'!E9</f>
        <v>16.609517274376049</v>
      </c>
      <c r="G13" s="54">
        <f>+F13/$B$13</f>
        <v>4.1523793185940126E-3</v>
      </c>
      <c r="H13" s="53">
        <f>+'Loss Analysis 1995'!G9</f>
        <v>106.38766756926137</v>
      </c>
      <c r="I13" s="54">
        <f>+H13/$B$13</f>
        <v>2.6596916892315341E-2</v>
      </c>
      <c r="J13" s="53">
        <f>+'Loss Analysis 1995'!I9</f>
        <v>6.3214195223298901</v>
      </c>
      <c r="K13" s="54">
        <f>+J13/$B$13</f>
        <v>1.5803548805824726E-3</v>
      </c>
      <c r="L13" s="53">
        <f>+'Loss Analysis 1995'!J9</f>
        <v>152.05976436596734</v>
      </c>
      <c r="M13" s="54">
        <f>+L13/B13</f>
        <v>3.8014941091491831E-2</v>
      </c>
    </row>
    <row r="14" spans="1:21">
      <c r="A14" s="36">
        <v>2001</v>
      </c>
      <c r="B14" s="2">
        <f>+'Loss Analysis 1995'!B9</f>
        <v>4000</v>
      </c>
      <c r="C14" s="59"/>
      <c r="D14" s="53" t="e">
        <f>+#REF!</f>
        <v>#REF!</v>
      </c>
      <c r="E14" s="54" t="e">
        <f>+D14/$B$13</f>
        <v>#REF!</v>
      </c>
      <c r="F14" s="53" t="e">
        <f>+#REF!</f>
        <v>#REF!</v>
      </c>
      <c r="G14" s="54" t="e">
        <f>+F14/$B$13</f>
        <v>#REF!</v>
      </c>
      <c r="H14" s="53" t="e">
        <f>+#REF!</f>
        <v>#REF!</v>
      </c>
      <c r="I14" s="54" t="e">
        <f>+H14/$B$13</f>
        <v>#REF!</v>
      </c>
      <c r="J14" s="53" t="e">
        <f>+#REF!</f>
        <v>#REF!</v>
      </c>
      <c r="K14" s="54" t="e">
        <f>+J14/$B$13</f>
        <v>#REF!</v>
      </c>
      <c r="L14" s="53" t="e">
        <f>+#REF!</f>
        <v>#REF!</v>
      </c>
      <c r="M14" s="54" t="e">
        <f>+L14/B14</f>
        <v>#REF!</v>
      </c>
    </row>
    <row r="15" spans="1:21">
      <c r="A15" s="36" t="s">
        <v>121</v>
      </c>
      <c r="B15" s="2">
        <f>+'Loss Analysis 1995'!B9</f>
        <v>4000</v>
      </c>
      <c r="C15" s="59"/>
      <c r="D15" s="53" t="e">
        <f>+'Loss Analysis 2001 Mod'!C9</f>
        <v>#REF!</v>
      </c>
      <c r="E15" s="54" t="e">
        <f>+D15/$B$13</f>
        <v>#REF!</v>
      </c>
      <c r="F15" s="53" t="e">
        <f>+'Loss Analysis 2001 Mod'!E9</f>
        <v>#REF!</v>
      </c>
      <c r="G15" s="54" t="e">
        <f>+F15/$B$13</f>
        <v>#REF!</v>
      </c>
      <c r="H15" s="53" t="e">
        <f>+'Loss Analysis 2001 Mod'!G9</f>
        <v>#REF!</v>
      </c>
      <c r="I15" s="54" t="e">
        <f>+H15/$B$13</f>
        <v>#REF!</v>
      </c>
      <c r="J15" s="53" t="e">
        <f>+'Loss Analysis 2001 Mod'!I9</f>
        <v>#REF!</v>
      </c>
      <c r="K15" s="54" t="e">
        <f>+J15/$B$13</f>
        <v>#REF!</v>
      </c>
      <c r="L15" s="53" t="e">
        <f>+'Loss Analysis 2001 Mod'!J9</f>
        <v>#REF!</v>
      </c>
      <c r="M15" s="54" t="e">
        <f>+L15/B15</f>
        <v>#REF!</v>
      </c>
    </row>
    <row r="16" spans="1:21">
      <c r="A16" s="36"/>
      <c r="C16" s="59"/>
      <c r="D16" s="28"/>
      <c r="E16" s="29"/>
      <c r="F16" s="28"/>
      <c r="G16" s="29"/>
      <c r="H16" s="28"/>
      <c r="I16" s="29"/>
      <c r="J16" s="28"/>
      <c r="K16" s="29"/>
      <c r="L16" s="28"/>
      <c r="M16" s="29"/>
    </row>
    <row r="17" spans="1:13">
      <c r="A17" s="36">
        <v>1995</v>
      </c>
      <c r="B17" s="2">
        <f>+'Loss Analysis 1995'!B18</f>
        <v>7600</v>
      </c>
      <c r="C17" s="59"/>
      <c r="D17" s="53">
        <f>+'Loss Analysis 1995'!C18</f>
        <v>37.013057599999996</v>
      </c>
      <c r="E17" s="54">
        <f>+D17/$B$13</f>
        <v>9.253264399999999E-3</v>
      </c>
      <c r="F17" s="53">
        <f>+'Loss Analysis 1995'!E18</f>
        <v>60.058710065458541</v>
      </c>
      <c r="G17" s="54">
        <f>+F17/$B$13</f>
        <v>1.5014677516364636E-2</v>
      </c>
      <c r="H17" s="53">
        <f>+'Loss Analysis 1995'!G18</f>
        <v>130.25657326461098</v>
      </c>
      <c r="I17" s="54">
        <f>+H17/$B$13</f>
        <v>3.2564143316152747E-2</v>
      </c>
      <c r="J17" s="53">
        <f>+'Loss Analysis 1995'!I18</f>
        <v>23.130339686685293</v>
      </c>
      <c r="K17" s="54">
        <f>+J17/$B$13</f>
        <v>5.7825849216713229E-3</v>
      </c>
      <c r="L17" s="53">
        <f>+'Loss Analysis 1995'!J18</f>
        <v>250.4586806167548</v>
      </c>
      <c r="M17" s="54">
        <f>+L17/B17</f>
        <v>3.2955089554836156E-2</v>
      </c>
    </row>
    <row r="18" spans="1:13">
      <c r="A18" s="36">
        <v>2001</v>
      </c>
      <c r="B18" s="2">
        <f>+'Loss Analysis 1995'!B18</f>
        <v>7600</v>
      </c>
      <c r="C18" s="59"/>
      <c r="D18" s="53" t="e">
        <f>+#REF!</f>
        <v>#REF!</v>
      </c>
      <c r="E18" s="54" t="e">
        <f>+D18/$B$13</f>
        <v>#REF!</v>
      </c>
      <c r="F18" s="53" t="e">
        <f>+#REF!</f>
        <v>#REF!</v>
      </c>
      <c r="G18" s="54" t="e">
        <f>+F18/$B$13</f>
        <v>#REF!</v>
      </c>
      <c r="H18" s="53" t="e">
        <f>+#REF!</f>
        <v>#REF!</v>
      </c>
      <c r="I18" s="54" t="e">
        <f>+H18/$B$13</f>
        <v>#REF!</v>
      </c>
      <c r="J18" s="53" t="e">
        <f>+#REF!</f>
        <v>#REF!</v>
      </c>
      <c r="K18" s="54" t="e">
        <f>+J18/$B$13</f>
        <v>#REF!</v>
      </c>
      <c r="L18" s="53" t="e">
        <f>+#REF!</f>
        <v>#REF!</v>
      </c>
      <c r="M18" s="54" t="e">
        <f>+L18/B18</f>
        <v>#REF!</v>
      </c>
    </row>
    <row r="19" spans="1:13">
      <c r="A19" s="36" t="s">
        <v>121</v>
      </c>
      <c r="B19" s="2">
        <f>+'Loss Analysis 1995'!B18</f>
        <v>7600</v>
      </c>
      <c r="C19" s="59"/>
      <c r="D19" s="53" t="e">
        <f>+'Loss Analysis 2001 Mod'!C18</f>
        <v>#REF!</v>
      </c>
      <c r="E19" s="54" t="e">
        <f>+D19/$B$13</f>
        <v>#REF!</v>
      </c>
      <c r="F19" s="53" t="e">
        <f>+'Loss Analysis 2001 Mod'!E18</f>
        <v>#REF!</v>
      </c>
      <c r="G19" s="54" t="e">
        <f>+F19/$B$13</f>
        <v>#REF!</v>
      </c>
      <c r="H19" s="53" t="e">
        <f>+'Loss Analysis 2001 Mod'!G18</f>
        <v>#REF!</v>
      </c>
      <c r="I19" s="54" t="e">
        <f>+H19/$B$13</f>
        <v>#REF!</v>
      </c>
      <c r="J19" s="53" t="e">
        <f>+'Loss Analysis 2001 Mod'!I18</f>
        <v>#REF!</v>
      </c>
      <c r="K19" s="54" t="e">
        <f>+J19/$B$13</f>
        <v>#REF!</v>
      </c>
      <c r="L19" s="53" t="e">
        <f>+'Loss Analysis 2001 Mod'!J18</f>
        <v>#REF!</v>
      </c>
      <c r="M19" s="54" t="e">
        <f>+L19/B19</f>
        <v>#REF!</v>
      </c>
    </row>
    <row r="20" spans="1:13">
      <c r="A20" s="36"/>
      <c r="C20" s="59"/>
      <c r="D20" s="28"/>
      <c r="E20" s="29"/>
      <c r="F20" s="28"/>
      <c r="G20" s="29"/>
      <c r="H20" s="28"/>
      <c r="I20" s="29"/>
      <c r="J20" s="28"/>
      <c r="K20" s="29"/>
      <c r="L20" s="28"/>
      <c r="M20" s="29"/>
    </row>
    <row r="21" spans="1:13">
      <c r="A21" s="36">
        <v>1995</v>
      </c>
      <c r="B21" s="2">
        <f>+'Loss Analysis 1995'!B27</f>
        <v>11200</v>
      </c>
      <c r="C21" s="59"/>
      <c r="D21" s="53">
        <f>+'Loss Analysis 1995'!C27</f>
        <v>60.143374399999999</v>
      </c>
      <c r="E21" s="54">
        <f>+D21/$B$13</f>
        <v>1.5035843599999999E-2</v>
      </c>
      <c r="F21" s="53">
        <f>+'Loss Analysis 1995'!E27</f>
        <v>130.30122592087039</v>
      </c>
      <c r="G21" s="54">
        <f>+F21/$B$13</f>
        <v>3.25753064802176E-2</v>
      </c>
      <c r="H21" s="53">
        <f>+'Loss Analysis 1995'!G27</f>
        <v>168.41442027595934</v>
      </c>
      <c r="I21" s="54">
        <f>+H21/$B$13</f>
        <v>4.2103605068989837E-2</v>
      </c>
      <c r="J21" s="53">
        <f>+'Loss Analysis 1995'!I27</f>
        <v>50.012919677175432</v>
      </c>
      <c r="K21" s="54">
        <f>+J21/$B$13</f>
        <v>1.2503229919293857E-2</v>
      </c>
      <c r="L21" s="53">
        <f>+'Loss Analysis 1995'!J27</f>
        <v>408.87194027400517</v>
      </c>
      <c r="M21" s="54">
        <f>+L21/B21</f>
        <v>3.650642323875046E-2</v>
      </c>
    </row>
    <row r="22" spans="1:13">
      <c r="A22" s="36">
        <v>2001</v>
      </c>
      <c r="B22" s="2">
        <f>+'Loss Analysis 1995'!B27</f>
        <v>11200</v>
      </c>
      <c r="C22" s="59"/>
      <c r="D22" s="53" t="e">
        <f>+#REF!</f>
        <v>#REF!</v>
      </c>
      <c r="E22" s="54" t="e">
        <f>+D22/$B$13</f>
        <v>#REF!</v>
      </c>
      <c r="F22" s="53" t="e">
        <f>+#REF!</f>
        <v>#REF!</v>
      </c>
      <c r="G22" s="54" t="e">
        <f>+F22/$B$13</f>
        <v>#REF!</v>
      </c>
      <c r="H22" s="53" t="e">
        <f>+#REF!</f>
        <v>#REF!</v>
      </c>
      <c r="I22" s="54" t="e">
        <f>+H22/$B$13</f>
        <v>#REF!</v>
      </c>
      <c r="J22" s="53" t="e">
        <f>+#REF!</f>
        <v>#REF!</v>
      </c>
      <c r="K22" s="54" t="e">
        <f>+J22/$B$13</f>
        <v>#REF!</v>
      </c>
      <c r="L22" s="53" t="e">
        <f>+#REF!</f>
        <v>#REF!</v>
      </c>
      <c r="M22" s="54" t="e">
        <f>+L22/B22</f>
        <v>#REF!</v>
      </c>
    </row>
    <row r="23" spans="1:13">
      <c r="A23" s="52" t="s">
        <v>121</v>
      </c>
      <c r="B23" s="60">
        <f>+'Loss Analysis 1995'!B27</f>
        <v>11200</v>
      </c>
      <c r="C23" s="61"/>
      <c r="D23" s="55" t="e">
        <f>+'Loss Analysis 2001 Mod'!C27</f>
        <v>#REF!</v>
      </c>
      <c r="E23" s="56" t="e">
        <f>+D23/$B$13</f>
        <v>#REF!</v>
      </c>
      <c r="F23" s="55" t="e">
        <f>+'Loss Analysis 2001 Mod'!E27</f>
        <v>#REF!</v>
      </c>
      <c r="G23" s="56" t="e">
        <f>+F23/$B$13</f>
        <v>#REF!</v>
      </c>
      <c r="H23" s="55" t="e">
        <f>+'Loss Analysis 2001 Mod'!G27</f>
        <v>#REF!</v>
      </c>
      <c r="I23" s="56" t="e">
        <f>+H23/$B$13</f>
        <v>#REF!</v>
      </c>
      <c r="J23" s="55" t="e">
        <f>+'Loss Analysis 2001 Mod'!I27</f>
        <v>#REF!</v>
      </c>
      <c r="K23" s="56" t="e">
        <f>+J23/$B$13</f>
        <v>#REF!</v>
      </c>
      <c r="L23" s="55" t="e">
        <f>+'Loss Analysis 2001 Mod'!J27</f>
        <v>#REF!</v>
      </c>
      <c r="M23" s="56" t="e">
        <f>+L23/B23</f>
        <v>#REF!</v>
      </c>
    </row>
    <row r="26" spans="1:13">
      <c r="D26" s="3" t="s">
        <v>122</v>
      </c>
    </row>
  </sheetData>
  <phoneticPr fontId="13" type="noConversion"/>
  <pageMargins left="0.75" right="0.75" top="1" bottom="1" header="0.5" footer="0.5"/>
  <pageSetup scale="67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9E71A-764D-4EB4-B981-FFB0336B6DA1}">
  <sheetPr>
    <pageSetUpPr fitToPage="1"/>
  </sheetPr>
  <dimension ref="A1:U53"/>
  <sheetViews>
    <sheetView zoomScale="75" workbookViewId="0">
      <selection activeCell="D1" sqref="D1"/>
    </sheetView>
  </sheetViews>
  <sheetFormatPr defaultRowHeight="12.75"/>
  <cols>
    <col min="1" max="1" width="4.42578125" customWidth="1"/>
    <col min="2" max="7" width="15.7109375" style="2" customWidth="1"/>
    <col min="8" max="8" width="15.85546875" style="2" customWidth="1"/>
    <col min="9" max="10" width="15.7109375" style="2" customWidth="1"/>
    <col min="11" max="11" width="13.28515625" style="2" customWidth="1"/>
    <col min="12" max="12" width="15.28515625" style="2" customWidth="1"/>
    <col min="13" max="13" width="13" style="2" customWidth="1"/>
    <col min="14" max="14" width="13.28515625" style="2" customWidth="1"/>
    <col min="15" max="15" width="15.28515625" style="2" customWidth="1"/>
    <col min="16" max="16" width="13.28515625" style="2" customWidth="1"/>
    <col min="17" max="17" width="13.140625" style="2" customWidth="1"/>
    <col min="18" max="19" width="13.28515625" style="2" customWidth="1"/>
    <col min="20" max="20" width="14.28515625" style="2" customWidth="1"/>
  </cols>
  <sheetData>
    <row r="1" spans="1:21">
      <c r="A1" s="1" t="s">
        <v>123</v>
      </c>
      <c r="B1" s="6"/>
      <c r="C1" s="6"/>
      <c r="D1" s="6">
        <v>1995</v>
      </c>
      <c r="F1" s="37" t="s">
        <v>105</v>
      </c>
      <c r="K1" s="6"/>
      <c r="M1" s="6" t="s">
        <v>124</v>
      </c>
      <c r="N1" s="25">
        <v>0</v>
      </c>
      <c r="O1" s="6" t="s">
        <v>124</v>
      </c>
      <c r="P1" s="6">
        <v>0.8</v>
      </c>
      <c r="Q1" s="6" t="s">
        <v>124</v>
      </c>
      <c r="R1" s="25">
        <v>1</v>
      </c>
      <c r="S1" s="25"/>
      <c r="T1" s="25"/>
    </row>
    <row r="2" spans="1:21">
      <c r="A2" s="7"/>
      <c r="B2" s="8"/>
      <c r="C2" s="8"/>
      <c r="D2" s="9" t="s">
        <v>125</v>
      </c>
      <c r="E2" s="9"/>
      <c r="F2" s="9"/>
      <c r="G2" s="9"/>
      <c r="H2" s="9"/>
      <c r="I2" s="9"/>
      <c r="J2" s="9"/>
      <c r="K2" s="8"/>
      <c r="L2" s="9" t="s">
        <v>126</v>
      </c>
      <c r="M2" s="9"/>
      <c r="N2" s="24" t="s">
        <v>127</v>
      </c>
      <c r="O2" s="9" t="s">
        <v>126</v>
      </c>
      <c r="P2" s="24" t="s">
        <v>128</v>
      </c>
      <c r="Q2" s="9" t="s">
        <v>126</v>
      </c>
      <c r="R2" s="24" t="s">
        <v>128</v>
      </c>
      <c r="S2" s="24" t="s">
        <v>129</v>
      </c>
      <c r="T2" s="9" t="s">
        <v>126</v>
      </c>
    </row>
    <row r="3" spans="1:21">
      <c r="A3" s="10"/>
      <c r="B3" s="11" t="s">
        <v>130</v>
      </c>
      <c r="C3" s="11" t="s">
        <v>131</v>
      </c>
      <c r="D3" s="12" t="s">
        <v>132</v>
      </c>
      <c r="E3" s="12" t="s">
        <v>133</v>
      </c>
      <c r="F3" s="12" t="s">
        <v>134</v>
      </c>
      <c r="G3" s="12" t="s">
        <v>135</v>
      </c>
      <c r="H3" s="12" t="s">
        <v>136</v>
      </c>
      <c r="I3" s="12" t="s">
        <v>137</v>
      </c>
      <c r="J3" s="22" t="s">
        <v>118</v>
      </c>
      <c r="K3" s="11" t="s">
        <v>127</v>
      </c>
      <c r="L3" s="12" t="s">
        <v>138</v>
      </c>
      <c r="M3" s="22" t="s">
        <v>118</v>
      </c>
      <c r="N3" s="11" t="s">
        <v>139</v>
      </c>
      <c r="O3" s="12" t="s">
        <v>140</v>
      </c>
      <c r="P3" s="11" t="s">
        <v>141</v>
      </c>
      <c r="Q3" s="12" t="s">
        <v>142</v>
      </c>
      <c r="R3" s="11" t="s">
        <v>143</v>
      </c>
      <c r="S3" s="11" t="s">
        <v>144</v>
      </c>
      <c r="T3" s="26" t="s">
        <v>142</v>
      </c>
    </row>
    <row r="4" spans="1:21">
      <c r="A4" s="13"/>
      <c r="B4" s="14" t="s">
        <v>119</v>
      </c>
      <c r="C4" s="14" t="s">
        <v>119</v>
      </c>
      <c r="D4" s="14" t="s">
        <v>119</v>
      </c>
      <c r="E4" s="14" t="s">
        <v>119</v>
      </c>
      <c r="F4" s="14" t="s">
        <v>119</v>
      </c>
      <c r="G4" s="14" t="s">
        <v>119</v>
      </c>
      <c r="H4" s="14" t="s">
        <v>119</v>
      </c>
      <c r="I4" s="14" t="s">
        <v>119</v>
      </c>
      <c r="J4" s="23" t="s">
        <v>119</v>
      </c>
      <c r="K4" s="14" t="s">
        <v>119</v>
      </c>
      <c r="L4" s="14" t="s">
        <v>119</v>
      </c>
      <c r="M4" s="23" t="s">
        <v>120</v>
      </c>
      <c r="N4" s="14" t="s">
        <v>120</v>
      </c>
      <c r="O4" s="14" t="s">
        <v>120</v>
      </c>
      <c r="P4" s="14" t="s">
        <v>120</v>
      </c>
      <c r="Q4" s="14" t="s">
        <v>120</v>
      </c>
      <c r="R4" s="14" t="s">
        <v>120</v>
      </c>
      <c r="S4" s="14" t="s">
        <v>119</v>
      </c>
      <c r="T4" s="14" t="s">
        <v>119</v>
      </c>
    </row>
    <row r="5" spans="1:21">
      <c r="A5" s="5">
        <v>1</v>
      </c>
      <c r="B5" s="2">
        <v>2400</v>
      </c>
      <c r="C5" s="4">
        <f>$B$36+$C$36*B5*B5</f>
        <v>19.241537600000001</v>
      </c>
      <c r="D5" s="4">
        <f t="shared" ref="D5:D31" si="0">+B5-C5</f>
        <v>2380.7584624000001</v>
      </c>
      <c r="E5" s="4">
        <f>$E$36*D5*D5</f>
        <v>5.951411399103673</v>
      </c>
      <c r="F5" s="4">
        <f t="shared" ref="F5:F31" si="1">+D5-E5</f>
        <v>2374.8070510008965</v>
      </c>
      <c r="G5" s="4">
        <f>$F$36+$G$36*F5*F5</f>
        <v>100.48202067363044</v>
      </c>
      <c r="H5" s="4">
        <f t="shared" ref="H5:H31" si="2">+F5-G5</f>
        <v>2274.3250303272662</v>
      </c>
      <c r="I5" s="4">
        <f>$I$36*H5*H5</f>
        <v>2.201087394929357</v>
      </c>
      <c r="J5" s="15">
        <f t="shared" ref="J5:J31" si="3">+C5+E5+G5+I5</f>
        <v>127.87605706766348</v>
      </c>
      <c r="K5" s="15">
        <f t="shared" ref="K5:K17" si="4">+B5/$B$18*$J$18</f>
        <v>79.092214931606776</v>
      </c>
      <c r="L5" s="4">
        <f t="shared" ref="L5:L31" si="5">+J5-K5</f>
        <v>48.783842136056705</v>
      </c>
      <c r="M5" s="17">
        <f t="shared" ref="M5:M31" si="6">+J5/B5</f>
        <v>5.3281690444859781E-2</v>
      </c>
      <c r="N5" s="17">
        <f t="shared" ref="N5:N31" si="7">+B5/$B$18*$M$18</f>
        <v>1.0406870385737734E-2</v>
      </c>
      <c r="O5" s="20">
        <f>+M5-N5</f>
        <v>4.2874820059122049E-2</v>
      </c>
      <c r="P5" s="17">
        <f t="shared" ref="P5:P31" si="8">+$M$18*($P$1+(1-$P$1)*(B5/$B$18))</f>
        <v>2.8445445721016472E-2</v>
      </c>
      <c r="Q5" s="20">
        <f>+M5-P5</f>
        <v>2.4836244723843309E-2</v>
      </c>
      <c r="R5" s="17">
        <f t="shared" ref="R5:R31" si="9">+$M$18*($R$1+(1-$R$1)*(B5/$B$18))</f>
        <v>3.2955089554836156E-2</v>
      </c>
      <c r="S5" s="15">
        <f>+P5*B5</f>
        <v>68.269069730439526</v>
      </c>
      <c r="T5" s="4">
        <f t="shared" ref="T5:T31" si="10">+J5-S5</f>
        <v>59.606987337223956</v>
      </c>
    </row>
    <row r="6" spans="1:21">
      <c r="A6">
        <f t="shared" ref="A6:A31" si="11">1+A5</f>
        <v>2</v>
      </c>
      <c r="B6" s="2">
        <f t="shared" ref="B6:B31" si="12">+B5+$B$33</f>
        <v>2800</v>
      </c>
      <c r="C6" s="4">
        <f>$B$36+$C$36*B6*B6</f>
        <v>19.9523984</v>
      </c>
      <c r="D6" s="4">
        <f t="shared" si="0"/>
        <v>2780.0476015999998</v>
      </c>
      <c r="E6" s="4">
        <f>$E$36*D6*D6</f>
        <v>8.1150979005200057</v>
      </c>
      <c r="F6" s="4">
        <f t="shared" si="1"/>
        <v>2771.9325036994796</v>
      </c>
      <c r="G6" s="4">
        <f>$F$36+$G$36*F6*F6</f>
        <v>101.6834258434176</v>
      </c>
      <c r="H6" s="4">
        <f t="shared" si="2"/>
        <v>2670.2490778560618</v>
      </c>
      <c r="I6" s="4">
        <f>$I$36*H6*H6</f>
        <v>3.034141090994543</v>
      </c>
      <c r="J6" s="4">
        <f t="shared" si="3"/>
        <v>132.78506323493215</v>
      </c>
      <c r="K6" s="15">
        <f t="shared" si="4"/>
        <v>92.274250753541239</v>
      </c>
      <c r="L6" s="4">
        <f t="shared" si="5"/>
        <v>40.510812481390914</v>
      </c>
      <c r="M6" s="17">
        <f t="shared" si="6"/>
        <v>4.7423236869618628E-2</v>
      </c>
      <c r="N6" s="17">
        <f t="shared" si="7"/>
        <v>1.2141348783360689E-2</v>
      </c>
      <c r="O6" s="20">
        <f t="shared" ref="O6:O31" si="13">+M6-N6</f>
        <v>3.5281888086257943E-2</v>
      </c>
      <c r="P6" s="17">
        <f t="shared" si="8"/>
        <v>2.8792341400541065E-2</v>
      </c>
      <c r="Q6" s="20">
        <f t="shared" ref="Q6:Q31" si="14">+M6-P6</f>
        <v>1.8630895469077563E-2</v>
      </c>
      <c r="R6" s="17">
        <f t="shared" si="9"/>
        <v>3.2955089554836156E-2</v>
      </c>
      <c r="S6" s="15">
        <f t="shared" ref="S6:S31" si="15">+P6*B6</f>
        <v>80.618555921514982</v>
      </c>
      <c r="T6" s="4">
        <f t="shared" si="10"/>
        <v>52.166507313417171</v>
      </c>
    </row>
    <row r="7" spans="1:21">
      <c r="A7">
        <f t="shared" si="11"/>
        <v>3</v>
      </c>
      <c r="B7" s="2">
        <f t="shared" si="12"/>
        <v>3200</v>
      </c>
      <c r="C7" s="4">
        <f t="shared" ref="C7:C31" si="16">$B$36+$C$36*B7*B7</f>
        <v>20.772622399999999</v>
      </c>
      <c r="D7" s="4">
        <f t="shared" si="0"/>
        <v>3179.2273776000002</v>
      </c>
      <c r="E7" s="4">
        <f t="shared" ref="E7:E31" si="17">$E$36*D7*D7</f>
        <v>10.612861054405442</v>
      </c>
      <c r="F7" s="4">
        <f t="shared" si="1"/>
        <v>3168.6145165455946</v>
      </c>
      <c r="G7" s="4">
        <f t="shared" ref="G7:G31" si="18">$F$36+$G$36*F7*F7</f>
        <v>103.06858133363363</v>
      </c>
      <c r="H7" s="4">
        <f t="shared" si="2"/>
        <v>3065.545935211961</v>
      </c>
      <c r="I7" s="4">
        <f t="shared" ref="I7:I31" si="19">$I$36*H7*H7</f>
        <v>3.9989675576208312</v>
      </c>
      <c r="J7" s="70">
        <f t="shared" si="3"/>
        <v>138.45303234565989</v>
      </c>
      <c r="K7" s="69">
        <f t="shared" si="4"/>
        <v>105.4562865754757</v>
      </c>
      <c r="L7" s="70">
        <f t="shared" si="5"/>
        <v>32.996745770184191</v>
      </c>
      <c r="M7" s="67">
        <f t="shared" si="6"/>
        <v>4.3266572608018715E-2</v>
      </c>
      <c r="N7" s="67">
        <f t="shared" si="7"/>
        <v>1.3875827180983643E-2</v>
      </c>
      <c r="O7" s="68">
        <f t="shared" si="13"/>
        <v>2.939074542703507E-2</v>
      </c>
      <c r="P7" s="67">
        <f t="shared" si="8"/>
        <v>2.9139237080065654E-2</v>
      </c>
      <c r="Q7" s="68">
        <f t="shared" si="14"/>
        <v>1.4127335527953061E-2</v>
      </c>
      <c r="R7" s="67">
        <f t="shared" si="9"/>
        <v>3.2955089554836156E-2</v>
      </c>
      <c r="S7" s="69">
        <f t="shared" si="15"/>
        <v>93.245558656210093</v>
      </c>
      <c r="T7" s="70">
        <f t="shared" si="10"/>
        <v>45.207473689449799</v>
      </c>
    </row>
    <row r="8" spans="1:21">
      <c r="A8">
        <f t="shared" si="11"/>
        <v>4</v>
      </c>
      <c r="B8" s="2">
        <f t="shared" si="12"/>
        <v>3600</v>
      </c>
      <c r="C8" s="4">
        <f t="shared" si="16"/>
        <v>21.7022096</v>
      </c>
      <c r="D8" s="4">
        <f t="shared" si="0"/>
        <v>3578.2977903999999</v>
      </c>
      <c r="E8" s="4">
        <f t="shared" si="17"/>
        <v>13.444425830620597</v>
      </c>
      <c r="F8" s="4">
        <f t="shared" si="1"/>
        <v>3564.8533645693792</v>
      </c>
      <c r="G8" s="4">
        <f t="shared" si="18"/>
        <v>104.63686791649621</v>
      </c>
      <c r="H8" s="4">
        <f t="shared" si="2"/>
        <v>3460.2164966528831</v>
      </c>
      <c r="I8" s="4">
        <f t="shared" si="19"/>
        <v>5.0949364248205926</v>
      </c>
      <c r="J8" s="70">
        <f t="shared" si="3"/>
        <v>144.87843977193739</v>
      </c>
      <c r="K8" s="69">
        <f t="shared" si="4"/>
        <v>118.63832239741016</v>
      </c>
      <c r="L8" s="70">
        <f t="shared" si="5"/>
        <v>26.24011737452723</v>
      </c>
      <c r="M8" s="67">
        <f t="shared" si="6"/>
        <v>4.0244011047760389E-2</v>
      </c>
      <c r="N8" s="67">
        <f t="shared" si="7"/>
        <v>1.56103055786066E-2</v>
      </c>
      <c r="O8" s="68">
        <f t="shared" si="13"/>
        <v>2.4633705469153791E-2</v>
      </c>
      <c r="P8" s="67">
        <f t="shared" si="8"/>
        <v>2.9486132759590247E-2</v>
      </c>
      <c r="Q8" s="68">
        <f t="shared" si="14"/>
        <v>1.0757878288170142E-2</v>
      </c>
      <c r="R8" s="67">
        <f t="shared" si="9"/>
        <v>3.2955089554836156E-2</v>
      </c>
      <c r="S8" s="69">
        <f t="shared" si="15"/>
        <v>106.15007793452489</v>
      </c>
      <c r="T8" s="70">
        <f t="shared" si="10"/>
        <v>38.728361837412507</v>
      </c>
    </row>
    <row r="9" spans="1:21">
      <c r="A9">
        <f t="shared" si="11"/>
        <v>5</v>
      </c>
      <c r="B9" s="2">
        <f t="shared" si="12"/>
        <v>4000</v>
      </c>
      <c r="C9" s="4">
        <f t="shared" si="16"/>
        <v>22.741160000000001</v>
      </c>
      <c r="D9" s="4">
        <f t="shared" si="0"/>
        <v>3977.25884</v>
      </c>
      <c r="E9" s="4">
        <f t="shared" si="17"/>
        <v>16.609517274376049</v>
      </c>
      <c r="F9" s="4">
        <f t="shared" si="1"/>
        <v>3960.6493227256237</v>
      </c>
      <c r="G9" s="4">
        <f t="shared" si="18"/>
        <v>106.38766756926137</v>
      </c>
      <c r="H9" s="4">
        <f t="shared" si="2"/>
        <v>3854.2616551563624</v>
      </c>
      <c r="I9" s="4">
        <f t="shared" si="19"/>
        <v>6.3214195223298901</v>
      </c>
      <c r="J9" s="70">
        <f t="shared" si="3"/>
        <v>152.05976436596734</v>
      </c>
      <c r="K9" s="69">
        <f t="shared" si="4"/>
        <v>131.82035821934463</v>
      </c>
      <c r="L9" s="70">
        <f t="shared" si="5"/>
        <v>20.239406146622713</v>
      </c>
      <c r="M9" s="67">
        <f t="shared" si="6"/>
        <v>3.8014941091491831E-2</v>
      </c>
      <c r="N9" s="67">
        <f t="shared" si="7"/>
        <v>1.7344783976229555E-2</v>
      </c>
      <c r="O9" s="68">
        <f t="shared" si="13"/>
        <v>2.0670157115262277E-2</v>
      </c>
      <c r="P9" s="67">
        <f t="shared" si="8"/>
        <v>2.9833028439114836E-2</v>
      </c>
      <c r="Q9" s="68">
        <f t="shared" si="14"/>
        <v>8.1819126523769957E-3</v>
      </c>
      <c r="R9" s="67">
        <f t="shared" si="9"/>
        <v>3.2955089554836156E-2</v>
      </c>
      <c r="S9" s="69">
        <f t="shared" si="15"/>
        <v>119.33211375645935</v>
      </c>
      <c r="T9" s="70">
        <f t="shared" si="10"/>
        <v>32.72765060950799</v>
      </c>
    </row>
    <row r="10" spans="1:21">
      <c r="A10">
        <f t="shared" si="11"/>
        <v>6</v>
      </c>
      <c r="B10" s="2">
        <f t="shared" si="12"/>
        <v>4400</v>
      </c>
      <c r="C10" s="4">
        <f t="shared" si="16"/>
        <v>23.889473599999999</v>
      </c>
      <c r="D10" s="4">
        <f t="shared" si="0"/>
        <v>4376.1105263999998</v>
      </c>
      <c r="E10" s="4">
        <f t="shared" si="17"/>
        <v>20.107860506232328</v>
      </c>
      <c r="F10" s="4">
        <f t="shared" si="1"/>
        <v>4356.0026658937677</v>
      </c>
      <c r="G10" s="4">
        <f t="shared" si="18"/>
        <v>108.32036347261582</v>
      </c>
      <c r="H10" s="4">
        <f t="shared" si="2"/>
        <v>4247.6823024211517</v>
      </c>
      <c r="I10" s="4">
        <f t="shared" si="19"/>
        <v>7.6777908727075932</v>
      </c>
      <c r="J10" s="70">
        <f t="shared" si="3"/>
        <v>159.99548845155573</v>
      </c>
      <c r="K10" s="69">
        <f t="shared" si="4"/>
        <v>145.0023940412791</v>
      </c>
      <c r="L10" s="70">
        <f t="shared" si="5"/>
        <v>14.993094410276626</v>
      </c>
      <c r="M10" s="67">
        <f t="shared" si="6"/>
        <v>3.6362611011717214E-2</v>
      </c>
      <c r="N10" s="67">
        <f t="shared" si="7"/>
        <v>1.9079262373852511E-2</v>
      </c>
      <c r="O10" s="68">
        <f t="shared" si="13"/>
        <v>1.7283348637864702E-2</v>
      </c>
      <c r="P10" s="67">
        <f t="shared" si="8"/>
        <v>3.0179924118639428E-2</v>
      </c>
      <c r="Q10" s="68">
        <f t="shared" si="14"/>
        <v>6.1826868930777851E-3</v>
      </c>
      <c r="R10" s="67">
        <f t="shared" si="9"/>
        <v>3.2955089554836156E-2</v>
      </c>
      <c r="S10" s="69">
        <f t="shared" si="15"/>
        <v>132.79166612201348</v>
      </c>
      <c r="T10" s="70">
        <f t="shared" si="10"/>
        <v>27.203822329542248</v>
      </c>
    </row>
    <row r="11" spans="1:21">
      <c r="A11">
        <f t="shared" si="11"/>
        <v>7</v>
      </c>
      <c r="B11" s="2">
        <f t="shared" si="12"/>
        <v>4800</v>
      </c>
      <c r="C11" s="4">
        <f t="shared" si="16"/>
        <v>25.147150400000001</v>
      </c>
      <c r="D11" s="4">
        <f t="shared" si="0"/>
        <v>4774.8528495999999</v>
      </c>
      <c r="E11" s="4">
        <f t="shared" si="17"/>
        <v>23.939180722099898</v>
      </c>
      <c r="F11" s="4">
        <f t="shared" si="1"/>
        <v>4750.9136688778999</v>
      </c>
      <c r="G11" s="4">
        <f t="shared" si="18"/>
        <v>110.43434000907112</v>
      </c>
      <c r="H11" s="4">
        <f t="shared" si="2"/>
        <v>4640.4793288688288</v>
      </c>
      <c r="I11" s="4">
        <f t="shared" si="19"/>
        <v>9.1634266844547128</v>
      </c>
      <c r="J11" s="70">
        <f t="shared" si="3"/>
        <v>168.68409781562573</v>
      </c>
      <c r="K11" s="69">
        <f t="shared" si="4"/>
        <v>158.18442986321355</v>
      </c>
      <c r="L11" s="70">
        <f t="shared" si="5"/>
        <v>10.499667952412182</v>
      </c>
      <c r="M11" s="67">
        <f t="shared" si="6"/>
        <v>3.5142520378255361E-2</v>
      </c>
      <c r="N11" s="67">
        <f t="shared" si="7"/>
        <v>2.0813740771475468E-2</v>
      </c>
      <c r="O11" s="68">
        <f t="shared" si="13"/>
        <v>1.4328779606779894E-2</v>
      </c>
      <c r="P11" s="67">
        <f t="shared" si="8"/>
        <v>3.0526819798164018E-2</v>
      </c>
      <c r="Q11" s="68">
        <f t="shared" si="14"/>
        <v>4.6157005800913434E-3</v>
      </c>
      <c r="R11" s="67">
        <f t="shared" si="9"/>
        <v>3.2955089554836156E-2</v>
      </c>
      <c r="S11" s="69">
        <f t="shared" si="15"/>
        <v>146.5287350311873</v>
      </c>
      <c r="T11" s="70">
        <f t="shared" si="10"/>
        <v>22.155362784438438</v>
      </c>
    </row>
    <row r="12" spans="1:21">
      <c r="A12">
        <f t="shared" si="11"/>
        <v>8</v>
      </c>
      <c r="B12" s="2">
        <f t="shared" si="12"/>
        <v>5200</v>
      </c>
      <c r="C12" s="4">
        <f t="shared" si="16"/>
        <v>26.5141904</v>
      </c>
      <c r="D12" s="4">
        <f t="shared" si="0"/>
        <v>5173.4858095999998</v>
      </c>
      <c r="E12" s="4">
        <f t="shared" si="17"/>
        <v>28.103203193239189</v>
      </c>
      <c r="F12" s="4">
        <f t="shared" si="1"/>
        <v>5145.3826064067607</v>
      </c>
      <c r="G12" s="4">
        <f t="shared" si="18"/>
        <v>112.72898276135892</v>
      </c>
      <c r="H12" s="4">
        <f t="shared" si="2"/>
        <v>5032.6536236454021</v>
      </c>
      <c r="I12" s="4">
        <f t="shared" si="19"/>
        <v>10.777705345153912</v>
      </c>
      <c r="J12" s="70">
        <f t="shared" si="3"/>
        <v>178.12408169975203</v>
      </c>
      <c r="K12" s="69">
        <f t="shared" si="4"/>
        <v>171.36646568514803</v>
      </c>
      <c r="L12" s="70">
        <f t="shared" si="5"/>
        <v>6.7576160146039967</v>
      </c>
      <c r="M12" s="67">
        <f t="shared" si="6"/>
        <v>3.4254631096106158E-2</v>
      </c>
      <c r="N12" s="67">
        <f t="shared" si="7"/>
        <v>2.2548219169098424E-2</v>
      </c>
      <c r="O12" s="68">
        <f t="shared" si="13"/>
        <v>1.1706411927007734E-2</v>
      </c>
      <c r="P12" s="67">
        <f t="shared" si="8"/>
        <v>3.087371547768861E-2</v>
      </c>
      <c r="Q12" s="68">
        <f t="shared" si="14"/>
        <v>3.380915618417548E-3</v>
      </c>
      <c r="R12" s="67">
        <f t="shared" si="9"/>
        <v>3.2955089554836156E-2</v>
      </c>
      <c r="S12" s="69">
        <f t="shared" si="15"/>
        <v>160.54332048398078</v>
      </c>
      <c r="T12" s="70">
        <f t="shared" si="10"/>
        <v>17.580761215771247</v>
      </c>
    </row>
    <row r="13" spans="1:21">
      <c r="A13">
        <f t="shared" si="11"/>
        <v>9</v>
      </c>
      <c r="B13" s="2">
        <f t="shared" si="12"/>
        <v>5600</v>
      </c>
      <c r="C13" s="4">
        <f t="shared" si="16"/>
        <v>27.9905936</v>
      </c>
      <c r="D13" s="4">
        <f t="shared" si="0"/>
        <v>5572.0094064000004</v>
      </c>
      <c r="E13" s="4">
        <f t="shared" si="17"/>
        <v>32.599653266260589</v>
      </c>
      <c r="F13" s="4">
        <f t="shared" si="1"/>
        <v>5539.4097531337402</v>
      </c>
      <c r="G13" s="4">
        <f t="shared" si="18"/>
        <v>115.20367851082794</v>
      </c>
      <c r="H13" s="4">
        <f t="shared" si="2"/>
        <v>5424.2060746229126</v>
      </c>
      <c r="I13" s="4">
        <f t="shared" si="19"/>
        <v>12.520007414629113</v>
      </c>
      <c r="J13" s="70">
        <f t="shared" si="3"/>
        <v>188.31393279171763</v>
      </c>
      <c r="K13" s="69">
        <f t="shared" si="4"/>
        <v>184.54850150708248</v>
      </c>
      <c r="L13" s="70">
        <f t="shared" si="5"/>
        <v>3.7654312846351559</v>
      </c>
      <c r="M13" s="67">
        <f t="shared" si="6"/>
        <v>3.3627487998521007E-2</v>
      </c>
      <c r="N13" s="67">
        <f t="shared" si="7"/>
        <v>2.4282697566721377E-2</v>
      </c>
      <c r="O13" s="68">
        <f t="shared" si="13"/>
        <v>9.3447904317996294E-3</v>
      </c>
      <c r="P13" s="67">
        <f t="shared" si="8"/>
        <v>3.1220611157213203E-2</v>
      </c>
      <c r="Q13" s="68">
        <f t="shared" si="14"/>
        <v>2.4068768413078034E-3</v>
      </c>
      <c r="R13" s="67">
        <f t="shared" si="9"/>
        <v>3.2955089554836156E-2</v>
      </c>
      <c r="S13" s="69">
        <f t="shared" si="15"/>
        <v>174.83542248039393</v>
      </c>
      <c r="T13" s="70">
        <f t="shared" si="10"/>
        <v>13.478510311323703</v>
      </c>
    </row>
    <row r="14" spans="1:21">
      <c r="A14">
        <f t="shared" si="11"/>
        <v>10</v>
      </c>
      <c r="B14" s="2">
        <f t="shared" si="12"/>
        <v>6000</v>
      </c>
      <c r="C14" s="4">
        <f t="shared" si="16"/>
        <v>29.576360000000001</v>
      </c>
      <c r="D14" s="4">
        <f t="shared" si="0"/>
        <v>5970.42364</v>
      </c>
      <c r="E14" s="4">
        <f t="shared" si="17"/>
        <v>37.42825636312439</v>
      </c>
      <c r="F14" s="4">
        <f t="shared" si="1"/>
        <v>5932.9953836368759</v>
      </c>
      <c r="G14" s="4">
        <f t="shared" si="18"/>
        <v>117.85781523584237</v>
      </c>
      <c r="H14" s="4">
        <f t="shared" si="2"/>
        <v>5815.1375684010336</v>
      </c>
      <c r="I14" s="4">
        <f t="shared" si="19"/>
        <v>14.389715618125136</v>
      </c>
      <c r="J14" s="70">
        <f t="shared" si="3"/>
        <v>199.2521472170919</v>
      </c>
      <c r="K14" s="69">
        <f t="shared" si="4"/>
        <v>197.73053732901695</v>
      </c>
      <c r="L14" s="70">
        <f t="shared" si="5"/>
        <v>1.5216098880749485</v>
      </c>
      <c r="M14" s="67">
        <f t="shared" si="6"/>
        <v>3.3208691202848653E-2</v>
      </c>
      <c r="N14" s="67">
        <f t="shared" si="7"/>
        <v>2.6017175964344334E-2</v>
      </c>
      <c r="O14" s="68">
        <f t="shared" si="13"/>
        <v>7.1915152385043195E-3</v>
      </c>
      <c r="P14" s="67">
        <f t="shared" si="8"/>
        <v>3.1567506836737792E-2</v>
      </c>
      <c r="Q14" s="68">
        <f t="shared" si="14"/>
        <v>1.6411843661108608E-3</v>
      </c>
      <c r="R14" s="67">
        <f t="shared" si="9"/>
        <v>3.2955089554836156E-2</v>
      </c>
      <c r="S14" s="69">
        <f t="shared" si="15"/>
        <v>189.40504102042675</v>
      </c>
      <c r="T14" s="70">
        <f t="shared" si="10"/>
        <v>9.8471061966651519</v>
      </c>
      <c r="U14" s="45" t="s">
        <v>145</v>
      </c>
    </row>
    <row r="15" spans="1:21">
      <c r="A15">
        <f t="shared" si="11"/>
        <v>11</v>
      </c>
      <c r="B15" s="2">
        <f t="shared" si="12"/>
        <v>6400</v>
      </c>
      <c r="C15" s="4">
        <f t="shared" si="16"/>
        <v>31.271489599999999</v>
      </c>
      <c r="D15" s="4">
        <f t="shared" si="0"/>
        <v>6368.7285104000002</v>
      </c>
      <c r="E15" s="4">
        <f t="shared" si="17"/>
        <v>42.588737981140888</v>
      </c>
      <c r="F15" s="4">
        <f t="shared" si="1"/>
        <v>6326.1397724188591</v>
      </c>
      <c r="G15" s="4">
        <f t="shared" si="18"/>
        <v>120.69078211018166</v>
      </c>
      <c r="H15" s="4">
        <f t="shared" si="2"/>
        <v>6205.4489903086778</v>
      </c>
      <c r="I15" s="4">
        <f t="shared" si="19"/>
        <v>16.386214839507414</v>
      </c>
      <c r="J15" s="70">
        <f t="shared" si="3"/>
        <v>210.93722453082995</v>
      </c>
      <c r="K15" s="69">
        <f t="shared" si="4"/>
        <v>210.9125731509514</v>
      </c>
      <c r="L15" s="70">
        <f t="shared" si="5"/>
        <v>2.4651379878548596E-2</v>
      </c>
      <c r="M15" s="67">
        <f t="shared" si="6"/>
        <v>3.2958941332942179E-2</v>
      </c>
      <c r="N15" s="67">
        <f t="shared" si="7"/>
        <v>2.7751654361967287E-2</v>
      </c>
      <c r="O15" s="68">
        <f t="shared" si="13"/>
        <v>5.2072869709748927E-3</v>
      </c>
      <c r="P15" s="67">
        <f t="shared" si="8"/>
        <v>3.1914402516262382E-2</v>
      </c>
      <c r="Q15" s="68">
        <f t="shared" si="14"/>
        <v>1.0445388166797978E-3</v>
      </c>
      <c r="R15" s="67">
        <f t="shared" si="9"/>
        <v>3.2955089554836156E-2</v>
      </c>
      <c r="S15" s="69">
        <f t="shared" si="15"/>
        <v>204.25217610407924</v>
      </c>
      <c r="T15" s="70">
        <f t="shared" si="10"/>
        <v>6.6850484267507113</v>
      </c>
    </row>
    <row r="16" spans="1:21">
      <c r="A16">
        <f t="shared" si="11"/>
        <v>12</v>
      </c>
      <c r="B16" s="2">
        <f t="shared" si="12"/>
        <v>6800</v>
      </c>
      <c r="C16" s="4">
        <f t="shared" si="16"/>
        <v>33.075982400000001</v>
      </c>
      <c r="D16" s="4">
        <f t="shared" si="0"/>
        <v>6766.9240176000003</v>
      </c>
      <c r="E16" s="4">
        <f t="shared" si="17"/>
        <v>48.080823692970313</v>
      </c>
      <c r="F16" s="4">
        <f t="shared" si="1"/>
        <v>6718.8431939070297</v>
      </c>
      <c r="G16" s="4">
        <f t="shared" si="18"/>
        <v>123.70196950144189</v>
      </c>
      <c r="H16" s="4">
        <f t="shared" si="2"/>
        <v>6595.1412244055882</v>
      </c>
      <c r="I16" s="4">
        <f t="shared" si="19"/>
        <v>18.508892114481529</v>
      </c>
      <c r="J16" s="70">
        <f t="shared" si="3"/>
        <v>223.36766770889375</v>
      </c>
      <c r="K16" s="69">
        <f t="shared" si="4"/>
        <v>224.09460897288588</v>
      </c>
      <c r="L16" s="70">
        <f t="shared" si="5"/>
        <v>-0.72694126399213133</v>
      </c>
      <c r="M16" s="67">
        <f t="shared" si="6"/>
        <v>3.2848186427778495E-2</v>
      </c>
      <c r="N16" s="67">
        <f t="shared" si="7"/>
        <v>2.9486132759590247E-2</v>
      </c>
      <c r="O16" s="68">
        <f t="shared" si="13"/>
        <v>3.3620536681882481E-3</v>
      </c>
      <c r="P16" s="67">
        <f t="shared" si="8"/>
        <v>3.2261298195786978E-2</v>
      </c>
      <c r="Q16" s="68">
        <f t="shared" si="14"/>
        <v>5.8688823199151696E-4</v>
      </c>
      <c r="R16" s="67">
        <f t="shared" si="9"/>
        <v>3.2955089554836156E-2</v>
      </c>
      <c r="S16" s="69">
        <f t="shared" si="15"/>
        <v>219.37682773135145</v>
      </c>
      <c r="T16" s="70">
        <f t="shared" si="10"/>
        <v>3.9908399775422936</v>
      </c>
    </row>
    <row r="17" spans="1:20">
      <c r="A17">
        <f t="shared" si="11"/>
        <v>13</v>
      </c>
      <c r="B17" s="2">
        <f t="shared" si="12"/>
        <v>7200</v>
      </c>
      <c r="C17" s="4">
        <f t="shared" si="16"/>
        <v>34.989838399999996</v>
      </c>
      <c r="D17" s="4">
        <f t="shared" si="0"/>
        <v>7165.0101616000002</v>
      </c>
      <c r="E17" s="4">
        <f t="shared" si="17"/>
        <v>53.904239146622814</v>
      </c>
      <c r="F17" s="4">
        <f t="shared" si="1"/>
        <v>7111.1059224533774</v>
      </c>
      <c r="G17" s="4">
        <f t="shared" si="18"/>
        <v>126.89076896943861</v>
      </c>
      <c r="H17" s="4">
        <f t="shared" si="2"/>
        <v>6984.2151534839386</v>
      </c>
      <c r="I17" s="4">
        <f t="shared" si="19"/>
        <v>20.757136623832739</v>
      </c>
      <c r="J17" s="70">
        <f t="shared" si="3"/>
        <v>236.54198313989414</v>
      </c>
      <c r="K17" s="69">
        <f t="shared" si="4"/>
        <v>237.27664479482033</v>
      </c>
      <c r="L17" s="70">
        <f t="shared" si="5"/>
        <v>-0.73466165492618529</v>
      </c>
      <c r="M17" s="67">
        <f t="shared" si="6"/>
        <v>3.2853053213874189E-2</v>
      </c>
      <c r="N17" s="67">
        <f t="shared" si="7"/>
        <v>3.12206111572132E-2</v>
      </c>
      <c r="O17" s="68">
        <f t="shared" si="13"/>
        <v>1.6324420566609897E-3</v>
      </c>
      <c r="P17" s="67">
        <f t="shared" si="8"/>
        <v>3.2608193875311567E-2</v>
      </c>
      <c r="Q17" s="68">
        <f t="shared" si="14"/>
        <v>2.4485933856262243E-4</v>
      </c>
      <c r="R17" s="67">
        <f t="shared" si="9"/>
        <v>3.2955089554836156E-2</v>
      </c>
      <c r="S17" s="69">
        <f t="shared" si="15"/>
        <v>234.77899590224328</v>
      </c>
      <c r="T17" s="70">
        <f t="shared" si="10"/>
        <v>1.7629872376508615</v>
      </c>
    </row>
    <row r="18" spans="1:20" s="1" customFormat="1">
      <c r="A18" s="19">
        <f t="shared" si="11"/>
        <v>14</v>
      </c>
      <c r="B18" s="6">
        <f t="shared" si="12"/>
        <v>7600</v>
      </c>
      <c r="C18" s="16">
        <f t="shared" si="16"/>
        <v>37.013057599999996</v>
      </c>
      <c r="D18" s="16">
        <f t="shared" si="0"/>
        <v>7562.9869423999999</v>
      </c>
      <c r="E18" s="16">
        <f t="shared" si="17"/>
        <v>60.058710065458541</v>
      </c>
      <c r="F18" s="16">
        <f t="shared" si="1"/>
        <v>7502.9282323345415</v>
      </c>
      <c r="G18" s="16">
        <f t="shared" si="18"/>
        <v>130.25657326461098</v>
      </c>
      <c r="H18" s="16">
        <f t="shared" si="2"/>
        <v>7372.6716590699307</v>
      </c>
      <c r="I18" s="16">
        <f t="shared" si="19"/>
        <v>23.130339686685293</v>
      </c>
      <c r="J18" s="72">
        <f t="shared" si="3"/>
        <v>250.4586806167548</v>
      </c>
      <c r="K18" s="72">
        <f>+B18/$B$18*$J$18</f>
        <v>250.4586806167548</v>
      </c>
      <c r="L18" s="72">
        <f t="shared" si="5"/>
        <v>0</v>
      </c>
      <c r="M18" s="71">
        <f t="shared" si="6"/>
        <v>3.2955089554836156E-2</v>
      </c>
      <c r="N18" s="71">
        <f t="shared" si="7"/>
        <v>3.2955089554836156E-2</v>
      </c>
      <c r="O18" s="71">
        <f t="shared" si="13"/>
        <v>0</v>
      </c>
      <c r="P18" s="71">
        <f>+$M$18*($P$1+(1-$P$1)*(B18/$B$18))</f>
        <v>3.2955089554836156E-2</v>
      </c>
      <c r="Q18" s="71">
        <f t="shared" si="14"/>
        <v>0</v>
      </c>
      <c r="R18" s="71">
        <f t="shared" si="9"/>
        <v>3.2955089554836156E-2</v>
      </c>
      <c r="S18" s="72">
        <f t="shared" si="15"/>
        <v>250.45868061675478</v>
      </c>
      <c r="T18" s="72">
        <f t="shared" si="10"/>
        <v>0</v>
      </c>
    </row>
    <row r="19" spans="1:20">
      <c r="A19">
        <f t="shared" si="11"/>
        <v>15</v>
      </c>
      <c r="B19" s="2">
        <f t="shared" si="12"/>
        <v>8000</v>
      </c>
      <c r="C19" s="4">
        <f t="shared" si="16"/>
        <v>39.14564</v>
      </c>
      <c r="D19" s="4">
        <f t="shared" si="0"/>
        <v>7960.8543600000003</v>
      </c>
      <c r="E19" s="4">
        <f t="shared" si="17"/>
        <v>66.543962248187555</v>
      </c>
      <c r="F19" s="4">
        <f t="shared" si="1"/>
        <v>7894.3103977518131</v>
      </c>
      <c r="G19" s="4">
        <f t="shared" si="18"/>
        <v>133.7987763264276</v>
      </c>
      <c r="H19" s="4">
        <f t="shared" si="2"/>
        <v>7760.5116214253858</v>
      </c>
      <c r="I19" s="4">
        <f t="shared" si="19"/>
        <v>25.627894753781529</v>
      </c>
      <c r="J19" s="70">
        <f t="shared" si="3"/>
        <v>265.11627332839669</v>
      </c>
      <c r="K19" s="69">
        <f t="shared" ref="K19:K31" si="20">+B19/$B$18*$J$18</f>
        <v>263.64071643868925</v>
      </c>
      <c r="L19" s="70">
        <f t="shared" si="5"/>
        <v>1.475556889707434</v>
      </c>
      <c r="M19" s="67">
        <f t="shared" si="6"/>
        <v>3.3139534166049589E-2</v>
      </c>
      <c r="N19" s="67">
        <f t="shared" si="7"/>
        <v>3.4689567952459109E-2</v>
      </c>
      <c r="O19" s="68">
        <f t="shared" si="13"/>
        <v>-1.5500337864095201E-3</v>
      </c>
      <c r="P19" s="67">
        <f t="shared" si="8"/>
        <v>3.3301985234360745E-2</v>
      </c>
      <c r="Q19" s="68">
        <f t="shared" si="14"/>
        <v>-1.624510683111563E-4</v>
      </c>
      <c r="R19" s="67">
        <f t="shared" si="9"/>
        <v>3.2955089554836156E-2</v>
      </c>
      <c r="S19" s="69">
        <f t="shared" si="15"/>
        <v>266.41588187488594</v>
      </c>
      <c r="T19" s="70">
        <f t="shared" si="10"/>
        <v>-1.2996085464892531</v>
      </c>
    </row>
    <row r="20" spans="1:20">
      <c r="A20">
        <f t="shared" si="11"/>
        <v>16</v>
      </c>
      <c r="B20" s="2">
        <f t="shared" si="12"/>
        <v>8400</v>
      </c>
      <c r="C20" s="4">
        <f t="shared" si="16"/>
        <v>41.387585599999994</v>
      </c>
      <c r="D20" s="4">
        <f t="shared" si="0"/>
        <v>8358.6124144000005</v>
      </c>
      <c r="E20" s="4">
        <f t="shared" si="17"/>
        <v>73.359721568869887</v>
      </c>
      <c r="F20" s="4">
        <f t="shared" si="1"/>
        <v>8285.2526928311308</v>
      </c>
      <c r="G20" s="4">
        <f t="shared" si="18"/>
        <v>137.51677328179369</v>
      </c>
      <c r="H20" s="4">
        <f t="shared" si="2"/>
        <v>8147.7359195493373</v>
      </c>
      <c r="I20" s="4">
        <f t="shared" si="19"/>
        <v>28.249197400780684</v>
      </c>
      <c r="J20" s="70">
        <f t="shared" si="3"/>
        <v>280.51327785144429</v>
      </c>
      <c r="K20" s="69">
        <f t="shared" si="20"/>
        <v>276.82275226062376</v>
      </c>
      <c r="L20" s="70">
        <f t="shared" si="5"/>
        <v>3.6905255908205277</v>
      </c>
      <c r="M20" s="67">
        <f t="shared" si="6"/>
        <v>3.3394437839457655E-2</v>
      </c>
      <c r="N20" s="67">
        <f t="shared" si="7"/>
        <v>3.6424046350082069E-2</v>
      </c>
      <c r="O20" s="68">
        <f t="shared" si="13"/>
        <v>-3.0296085106244139E-3</v>
      </c>
      <c r="P20" s="67">
        <f t="shared" si="8"/>
        <v>3.3648880913885341E-2</v>
      </c>
      <c r="Q20" s="68">
        <f t="shared" si="14"/>
        <v>-2.5444307442768627E-4</v>
      </c>
      <c r="R20" s="67">
        <f t="shared" si="9"/>
        <v>3.2955089554836156E-2</v>
      </c>
      <c r="S20" s="69">
        <f t="shared" si="15"/>
        <v>282.65059967663689</v>
      </c>
      <c r="T20" s="70">
        <f t="shared" si="10"/>
        <v>-2.1373218251926005</v>
      </c>
    </row>
    <row r="21" spans="1:20">
      <c r="A21">
        <f t="shared" si="11"/>
        <v>17</v>
      </c>
      <c r="B21" s="2">
        <f t="shared" si="12"/>
        <v>8800</v>
      </c>
      <c r="C21" s="4">
        <f t="shared" si="16"/>
        <v>43.7388944</v>
      </c>
      <c r="D21" s="4">
        <f t="shared" si="0"/>
        <v>8756.2611056000005</v>
      </c>
      <c r="E21" s="4">
        <f t="shared" si="17"/>
        <v>80.505713976915501</v>
      </c>
      <c r="F21" s="4">
        <f t="shared" si="1"/>
        <v>8675.7553916230845</v>
      </c>
      <c r="G21" s="4">
        <f t="shared" si="18"/>
        <v>141.40996044345982</v>
      </c>
      <c r="H21" s="4">
        <f t="shared" si="2"/>
        <v>8534.3454311796249</v>
      </c>
      <c r="I21" s="4">
        <f t="shared" si="19"/>
        <v>30.993645321577414</v>
      </c>
      <c r="J21" s="70">
        <f t="shared" si="3"/>
        <v>296.64821414195268</v>
      </c>
      <c r="K21" s="69">
        <f t="shared" si="20"/>
        <v>290.00478808255821</v>
      </c>
      <c r="L21" s="70">
        <f t="shared" si="5"/>
        <v>6.6434260593944714</v>
      </c>
      <c r="M21" s="67">
        <f t="shared" si="6"/>
        <v>3.3710024334312805E-2</v>
      </c>
      <c r="N21" s="67">
        <f t="shared" si="7"/>
        <v>3.8158524747705022E-2</v>
      </c>
      <c r="O21" s="68">
        <f t="shared" si="13"/>
        <v>-4.4485004133922174E-3</v>
      </c>
      <c r="P21" s="67">
        <f t="shared" si="8"/>
        <v>3.3995776593409931E-2</v>
      </c>
      <c r="Q21" s="68">
        <f t="shared" si="14"/>
        <v>-2.8575225909712593E-4</v>
      </c>
      <c r="R21" s="67">
        <f t="shared" si="9"/>
        <v>3.2955089554836156E-2</v>
      </c>
      <c r="S21" s="69">
        <f t="shared" si="15"/>
        <v>299.16283402200742</v>
      </c>
      <c r="T21" s="70">
        <f t="shared" si="10"/>
        <v>-2.5146198800547381</v>
      </c>
    </row>
    <row r="22" spans="1:20">
      <c r="A22">
        <f t="shared" si="11"/>
        <v>18</v>
      </c>
      <c r="B22" s="2">
        <f t="shared" si="12"/>
        <v>9200</v>
      </c>
      <c r="C22" s="4">
        <f t="shared" si="16"/>
        <v>46.199566400000002</v>
      </c>
      <c r="D22" s="4">
        <f t="shared" si="0"/>
        <v>9153.8004335999995</v>
      </c>
      <c r="E22" s="4">
        <f t="shared" si="17"/>
        <v>87.981665497084308</v>
      </c>
      <c r="F22" s="4">
        <f t="shared" si="1"/>
        <v>9065.8187681029158</v>
      </c>
      <c r="G22" s="4">
        <f t="shared" si="18"/>
        <v>145.47773530843199</v>
      </c>
      <c r="H22" s="4">
        <f t="shared" si="2"/>
        <v>8920.3410327944839</v>
      </c>
      <c r="I22" s="4">
        <f t="shared" si="19"/>
        <v>33.860638321639911</v>
      </c>
      <c r="J22" s="70">
        <f t="shared" si="3"/>
        <v>313.51960552715622</v>
      </c>
      <c r="K22" s="69">
        <f t="shared" si="20"/>
        <v>303.18682390449266</v>
      </c>
      <c r="L22" s="70">
        <f t="shared" si="5"/>
        <v>10.33278162266356</v>
      </c>
      <c r="M22" s="67">
        <f t="shared" si="6"/>
        <v>3.4078217992082195E-2</v>
      </c>
      <c r="N22" s="67">
        <f t="shared" si="7"/>
        <v>3.9893003145327975E-2</v>
      </c>
      <c r="O22" s="68">
        <f t="shared" si="13"/>
        <v>-5.81478515324578E-3</v>
      </c>
      <c r="P22" s="67">
        <f t="shared" si="8"/>
        <v>3.434267227293452E-2</v>
      </c>
      <c r="Q22" s="68">
        <f t="shared" si="14"/>
        <v>-2.6445428085232481E-4</v>
      </c>
      <c r="R22" s="67">
        <f t="shared" si="9"/>
        <v>3.2955089554836156E-2</v>
      </c>
      <c r="S22" s="69">
        <f t="shared" si="15"/>
        <v>315.95258491099759</v>
      </c>
      <c r="T22" s="70">
        <f t="shared" si="10"/>
        <v>-2.4329793838413707</v>
      </c>
    </row>
    <row r="23" spans="1:20">
      <c r="A23">
        <f t="shared" si="11"/>
        <v>19</v>
      </c>
      <c r="B23" s="2">
        <f t="shared" si="12"/>
        <v>9600</v>
      </c>
      <c r="C23" s="4">
        <f t="shared" si="16"/>
        <v>48.769601600000001</v>
      </c>
      <c r="D23" s="4">
        <f t="shared" si="0"/>
        <v>9551.2303983999991</v>
      </c>
      <c r="E23" s="4">
        <f t="shared" si="17"/>
        <v>95.787302229486215</v>
      </c>
      <c r="F23" s="4">
        <f t="shared" si="1"/>
        <v>9455.4430961705129</v>
      </c>
      <c r="G23" s="4">
        <f t="shared" si="18"/>
        <v>149.71949655638318</v>
      </c>
      <c r="H23" s="4">
        <f t="shared" si="2"/>
        <v>9305.7235996141299</v>
      </c>
      <c r="I23" s="4">
        <f t="shared" si="19"/>
        <v>36.84957831136753</v>
      </c>
      <c r="J23" s="70">
        <f t="shared" si="3"/>
        <v>331.12597869723686</v>
      </c>
      <c r="K23" s="69">
        <f t="shared" si="20"/>
        <v>316.3688597264271</v>
      </c>
      <c r="L23" s="70">
        <f t="shared" si="5"/>
        <v>14.757118970809756</v>
      </c>
      <c r="M23" s="67">
        <f t="shared" si="6"/>
        <v>3.4492289447628839E-2</v>
      </c>
      <c r="N23" s="67">
        <f t="shared" si="7"/>
        <v>4.1627481542950935E-2</v>
      </c>
      <c r="O23" s="68">
        <f t="shared" si="13"/>
        <v>-7.135192095322096E-3</v>
      </c>
      <c r="P23" s="67">
        <f t="shared" si="8"/>
        <v>3.4689567952459109E-2</v>
      </c>
      <c r="Q23" s="68">
        <f t="shared" si="14"/>
        <v>-1.9727850483026999E-4</v>
      </c>
      <c r="R23" s="67">
        <f t="shared" si="9"/>
        <v>3.2955089554836156E-2</v>
      </c>
      <c r="S23" s="69">
        <f t="shared" si="15"/>
        <v>333.01985234360745</v>
      </c>
      <c r="T23" s="70">
        <f t="shared" si="10"/>
        <v>-1.8938736463705936</v>
      </c>
    </row>
    <row r="24" spans="1:20">
      <c r="A24">
        <f t="shared" si="11"/>
        <v>20</v>
      </c>
      <c r="B24" s="2">
        <f t="shared" si="12"/>
        <v>10000</v>
      </c>
      <c r="C24" s="4">
        <f t="shared" si="16"/>
        <v>51.448999999999998</v>
      </c>
      <c r="D24" s="4">
        <f t="shared" si="0"/>
        <v>9948.5509999999995</v>
      </c>
      <c r="E24" s="4">
        <f t="shared" si="17"/>
        <v>103.92235034958102</v>
      </c>
      <c r="F24" s="4">
        <f t="shared" si="1"/>
        <v>9844.6286496504181</v>
      </c>
      <c r="G24" s="4">
        <f t="shared" si="18"/>
        <v>154.13464404806658</v>
      </c>
      <c r="H24" s="4">
        <f t="shared" si="2"/>
        <v>9690.4940056023515</v>
      </c>
      <c r="I24" s="4">
        <f t="shared" si="19"/>
        <v>39.959869299468053</v>
      </c>
      <c r="J24" s="70">
        <f t="shared" si="3"/>
        <v>349.46586369711559</v>
      </c>
      <c r="K24" s="69">
        <f t="shared" si="20"/>
        <v>329.55089554836161</v>
      </c>
      <c r="L24" s="70">
        <f t="shared" si="5"/>
        <v>19.914968148753985</v>
      </c>
      <c r="M24" s="67">
        <f t="shared" si="6"/>
        <v>3.4946586369711562E-2</v>
      </c>
      <c r="N24" s="67">
        <f t="shared" si="7"/>
        <v>4.3361959940573895E-2</v>
      </c>
      <c r="O24" s="68">
        <f t="shared" si="13"/>
        <v>-8.4153735708623334E-3</v>
      </c>
      <c r="P24" s="67">
        <f t="shared" si="8"/>
        <v>3.5036463631983705E-2</v>
      </c>
      <c r="Q24" s="68">
        <f t="shared" si="14"/>
        <v>-8.9877262272143599E-5</v>
      </c>
      <c r="R24" s="67">
        <f t="shared" si="9"/>
        <v>3.2955089554836156E-2</v>
      </c>
      <c r="S24" s="69">
        <f t="shared" si="15"/>
        <v>350.36463631983708</v>
      </c>
      <c r="T24" s="70">
        <f t="shared" si="10"/>
        <v>-0.89877262272148073</v>
      </c>
    </row>
    <row r="25" spans="1:20">
      <c r="A25">
        <f t="shared" si="11"/>
        <v>21</v>
      </c>
      <c r="B25" s="2">
        <f t="shared" si="12"/>
        <v>10400</v>
      </c>
      <c r="C25" s="4">
        <f t="shared" si="16"/>
        <v>54.237761599999999</v>
      </c>
      <c r="D25" s="4">
        <f t="shared" si="0"/>
        <v>10345.762238400001</v>
      </c>
      <c r="E25" s="4">
        <f t="shared" si="17"/>
        <v>112.38653610817855</v>
      </c>
      <c r="F25" s="4">
        <f t="shared" si="1"/>
        <v>10233.375702291822</v>
      </c>
      <c r="G25" s="4">
        <f t="shared" si="18"/>
        <v>158.72257882373006</v>
      </c>
      <c r="H25" s="4">
        <f t="shared" si="2"/>
        <v>10074.653123468092</v>
      </c>
      <c r="I25" s="4">
        <f t="shared" si="19"/>
        <v>43.190917386354251</v>
      </c>
      <c r="J25" s="70">
        <f t="shared" si="3"/>
        <v>368.53779391826288</v>
      </c>
      <c r="K25" s="69">
        <f t="shared" si="20"/>
        <v>342.73293137029606</v>
      </c>
      <c r="L25" s="70">
        <f t="shared" si="5"/>
        <v>25.80486254796682</v>
      </c>
      <c r="M25" s="67">
        <f t="shared" si="6"/>
        <v>3.5436326338294508E-2</v>
      </c>
      <c r="N25" s="67">
        <f t="shared" si="7"/>
        <v>4.5096438338196848E-2</v>
      </c>
      <c r="O25" s="68">
        <f t="shared" si="13"/>
        <v>-9.6601119999023405E-3</v>
      </c>
      <c r="P25" s="67">
        <f t="shared" si="8"/>
        <v>3.5383359311508294E-2</v>
      </c>
      <c r="Q25" s="68">
        <f t="shared" si="14"/>
        <v>5.2967026786213123E-5</v>
      </c>
      <c r="R25" s="67">
        <f t="shared" si="9"/>
        <v>3.2955089554836156E-2</v>
      </c>
      <c r="S25" s="69">
        <f t="shared" si="15"/>
        <v>367.98693683968628</v>
      </c>
      <c r="T25" s="70">
        <f t="shared" si="10"/>
        <v>0.55085707857659827</v>
      </c>
    </row>
    <row r="26" spans="1:20">
      <c r="A26">
        <f t="shared" si="11"/>
        <v>22</v>
      </c>
      <c r="B26" s="2">
        <f t="shared" si="12"/>
        <v>10800</v>
      </c>
      <c r="C26" s="4">
        <f t="shared" si="16"/>
        <v>57.135886400000004</v>
      </c>
      <c r="D26" s="4">
        <f t="shared" si="0"/>
        <v>10742.864113600001</v>
      </c>
      <c r="E26" s="4">
        <f t="shared" si="17"/>
        <v>121.17958583143846</v>
      </c>
      <c r="F26" s="4">
        <f t="shared" si="1"/>
        <v>10621.684527768562</v>
      </c>
      <c r="G26" s="4">
        <f t="shared" si="18"/>
        <v>163.48270310153211</v>
      </c>
      <c r="H26" s="4">
        <f t="shared" si="2"/>
        <v>10458.20182466703</v>
      </c>
      <c r="I26" s="4">
        <f t="shared" si="19"/>
        <v>46.542130757559953</v>
      </c>
      <c r="J26" s="4">
        <f t="shared" si="3"/>
        <v>388.34030609053053</v>
      </c>
      <c r="K26" s="15">
        <f t="shared" si="20"/>
        <v>355.91496719223051</v>
      </c>
      <c r="L26" s="4">
        <f t="shared" si="5"/>
        <v>32.425338898300026</v>
      </c>
      <c r="M26" s="17">
        <f t="shared" si="6"/>
        <v>3.5957435749123197E-2</v>
      </c>
      <c r="N26" s="17">
        <f t="shared" si="7"/>
        <v>4.6830916735819801E-2</v>
      </c>
      <c r="O26" s="20">
        <f t="shared" si="13"/>
        <v>-1.0873480986696604E-2</v>
      </c>
      <c r="P26" s="17">
        <f t="shared" si="8"/>
        <v>3.5730254991032884E-2</v>
      </c>
      <c r="Q26" s="20">
        <f t="shared" si="14"/>
        <v>2.2718075809031318E-4</v>
      </c>
      <c r="R26" s="17">
        <f t="shared" si="9"/>
        <v>3.2955089554836156E-2</v>
      </c>
      <c r="S26" s="15">
        <f t="shared" si="15"/>
        <v>385.88675390315512</v>
      </c>
      <c r="T26" s="4">
        <f t="shared" si="10"/>
        <v>2.4535521873754078</v>
      </c>
    </row>
    <row r="27" spans="1:20">
      <c r="A27">
        <f t="shared" si="11"/>
        <v>23</v>
      </c>
      <c r="B27" s="2">
        <f t="shared" si="12"/>
        <v>11200</v>
      </c>
      <c r="C27" s="4">
        <f t="shared" si="16"/>
        <v>60.143374399999999</v>
      </c>
      <c r="D27" s="4">
        <f t="shared" si="0"/>
        <v>11139.856625599999</v>
      </c>
      <c r="E27" s="4">
        <f t="shared" si="17"/>
        <v>130.30122592087039</v>
      </c>
      <c r="F27" s="4">
        <f t="shared" si="1"/>
        <v>11009.55539967913</v>
      </c>
      <c r="G27" s="4">
        <f t="shared" si="18"/>
        <v>168.41442027595934</v>
      </c>
      <c r="H27" s="4">
        <f t="shared" si="2"/>
        <v>10841.14097940317</v>
      </c>
      <c r="I27" s="4">
        <f t="shared" si="19"/>
        <v>50.012919677175432</v>
      </c>
      <c r="J27" s="4">
        <f t="shared" si="3"/>
        <v>408.87194027400517</v>
      </c>
      <c r="K27" s="15">
        <f t="shared" si="20"/>
        <v>369.09700301416495</v>
      </c>
      <c r="L27" s="4">
        <f t="shared" si="5"/>
        <v>39.774937259840215</v>
      </c>
      <c r="M27" s="17">
        <f t="shared" si="6"/>
        <v>3.650642323875046E-2</v>
      </c>
      <c r="N27" s="17">
        <f t="shared" si="7"/>
        <v>4.8565395133442754E-2</v>
      </c>
      <c r="O27" s="20">
        <f t="shared" si="13"/>
        <v>-1.2058971894692294E-2</v>
      </c>
      <c r="P27" s="17">
        <f t="shared" si="8"/>
        <v>3.6077150670557473E-2</v>
      </c>
      <c r="Q27" s="20">
        <f t="shared" si="14"/>
        <v>4.2927256819298709E-4</v>
      </c>
      <c r="R27" s="17">
        <f t="shared" si="9"/>
        <v>3.2955089554836156E-2</v>
      </c>
      <c r="S27" s="15">
        <f t="shared" si="15"/>
        <v>404.06408751024372</v>
      </c>
      <c r="T27" s="4">
        <f t="shared" si="10"/>
        <v>4.8078527637614457</v>
      </c>
    </row>
    <row r="28" spans="1:20">
      <c r="A28">
        <f t="shared" si="11"/>
        <v>24</v>
      </c>
      <c r="B28" s="2">
        <f t="shared" si="12"/>
        <v>11600</v>
      </c>
      <c r="C28" s="4">
        <f t="shared" si="16"/>
        <v>63.260225599999998</v>
      </c>
      <c r="D28" s="4">
        <f t="shared" si="0"/>
        <v>11536.739774400001</v>
      </c>
      <c r="E28" s="4">
        <f t="shared" si="17"/>
        <v>139.75118285333411</v>
      </c>
      <c r="F28" s="4">
        <f t="shared" si="1"/>
        <v>11396.988591546668</v>
      </c>
      <c r="G28" s="4">
        <f t="shared" si="18"/>
        <v>173.51713491624562</v>
      </c>
      <c r="H28" s="4">
        <f t="shared" si="2"/>
        <v>11223.471456630421</v>
      </c>
      <c r="I28" s="4">
        <f t="shared" si="19"/>
        <v>53.602696481302168</v>
      </c>
      <c r="J28" s="4">
        <f t="shared" si="3"/>
        <v>430.13123985088197</v>
      </c>
      <c r="K28" s="15">
        <f t="shared" si="20"/>
        <v>382.27903883609946</v>
      </c>
      <c r="L28" s="4">
        <f t="shared" si="5"/>
        <v>47.852201014782509</v>
      </c>
      <c r="M28" s="17">
        <f t="shared" si="6"/>
        <v>3.7080279297489825E-2</v>
      </c>
      <c r="N28" s="17">
        <f t="shared" si="7"/>
        <v>5.0299873531065714E-2</v>
      </c>
      <c r="O28" s="20">
        <f t="shared" si="13"/>
        <v>-1.3219594233575889E-2</v>
      </c>
      <c r="P28" s="17">
        <f t="shared" si="8"/>
        <v>3.6424046350082062E-2</v>
      </c>
      <c r="Q28" s="20">
        <f t="shared" si="14"/>
        <v>6.56232947407763E-4</v>
      </c>
      <c r="R28" s="17">
        <f t="shared" si="9"/>
        <v>3.2955089554836156E-2</v>
      </c>
      <c r="S28" s="15">
        <f t="shared" si="15"/>
        <v>422.51893766095191</v>
      </c>
      <c r="T28" s="4">
        <f t="shared" si="10"/>
        <v>7.6123021899300625</v>
      </c>
    </row>
    <row r="29" spans="1:20">
      <c r="A29">
        <f t="shared" si="11"/>
        <v>25</v>
      </c>
      <c r="B29" s="2">
        <f t="shared" si="12"/>
        <v>12000</v>
      </c>
      <c r="C29" s="4">
        <f t="shared" si="16"/>
        <v>66.486440000000002</v>
      </c>
      <c r="D29" s="4">
        <f t="shared" si="0"/>
        <v>11933.513559999999</v>
      </c>
      <c r="E29" s="4">
        <f t="shared" si="17"/>
        <v>149.52918318103906</v>
      </c>
      <c r="F29" s="4">
        <f t="shared" si="1"/>
        <v>11783.98437681896</v>
      </c>
      <c r="G29" s="4">
        <f t="shared" si="18"/>
        <v>178.79025276479203</v>
      </c>
      <c r="H29" s="4">
        <f t="shared" si="2"/>
        <v>11605.194124054169</v>
      </c>
      <c r="I29" s="4">
        <f t="shared" si="19"/>
        <v>57.310875571526608</v>
      </c>
      <c r="J29" s="4">
        <f t="shared" si="3"/>
        <v>452.11675151735767</v>
      </c>
      <c r="K29" s="15">
        <f t="shared" si="20"/>
        <v>395.46107465803391</v>
      </c>
      <c r="L29" s="4">
        <f t="shared" si="5"/>
        <v>56.655676859323762</v>
      </c>
      <c r="M29" s="17">
        <f t="shared" si="6"/>
        <v>3.7676395959779806E-2</v>
      </c>
      <c r="N29" s="17">
        <f t="shared" si="7"/>
        <v>5.2034351928688667E-2</v>
      </c>
      <c r="O29" s="20">
        <f t="shared" si="13"/>
        <v>-1.4357955968908861E-2</v>
      </c>
      <c r="P29" s="17">
        <f t="shared" si="8"/>
        <v>3.6770942029606658E-2</v>
      </c>
      <c r="Q29" s="20">
        <f t="shared" si="14"/>
        <v>9.0545393017314735E-4</v>
      </c>
      <c r="R29" s="17">
        <f t="shared" si="9"/>
        <v>3.2955089554836156E-2</v>
      </c>
      <c r="S29" s="15">
        <f t="shared" si="15"/>
        <v>441.2513043552799</v>
      </c>
      <c r="T29" s="4">
        <f t="shared" si="10"/>
        <v>10.865447162077771</v>
      </c>
    </row>
    <row r="30" spans="1:20">
      <c r="A30">
        <f t="shared" si="11"/>
        <v>26</v>
      </c>
      <c r="B30" s="2">
        <f t="shared" si="12"/>
        <v>12400</v>
      </c>
      <c r="C30" s="4">
        <f t="shared" si="16"/>
        <v>69.822017600000009</v>
      </c>
      <c r="D30" s="4">
        <f t="shared" si="0"/>
        <v>12330.1779824</v>
      </c>
      <c r="E30" s="4">
        <f t="shared" si="17"/>
        <v>159.63495353154482</v>
      </c>
      <c r="F30" s="4">
        <f t="shared" si="1"/>
        <v>12170.543028868457</v>
      </c>
      <c r="G30" s="4">
        <f t="shared" si="18"/>
        <v>184.23318073558917</v>
      </c>
      <c r="H30" s="4">
        <f t="shared" si="2"/>
        <v>11986.309848132867</v>
      </c>
      <c r="I30" s="4">
        <f t="shared" si="19"/>
        <v>61.136873408413493</v>
      </c>
      <c r="J30" s="4">
        <f t="shared" si="3"/>
        <v>474.8270252755475</v>
      </c>
      <c r="K30" s="15">
        <f t="shared" si="20"/>
        <v>408.64311047996836</v>
      </c>
      <c r="L30" s="4">
        <f t="shared" si="5"/>
        <v>66.183914795579142</v>
      </c>
      <c r="M30" s="17">
        <f t="shared" si="6"/>
        <v>3.8292502038350607E-2</v>
      </c>
      <c r="N30" s="17">
        <f t="shared" si="7"/>
        <v>5.376883032631162E-2</v>
      </c>
      <c r="O30" s="20">
        <f t="shared" si="13"/>
        <v>-1.5476328287961014E-2</v>
      </c>
      <c r="P30" s="17">
        <f t="shared" si="8"/>
        <v>3.7117837709131248E-2</v>
      </c>
      <c r="Q30" s="20">
        <f t="shared" si="14"/>
        <v>1.174664329219359E-3</v>
      </c>
      <c r="R30" s="17">
        <f t="shared" si="9"/>
        <v>3.2955089554836156E-2</v>
      </c>
      <c r="S30" s="15">
        <f t="shared" si="15"/>
        <v>460.26118759322748</v>
      </c>
      <c r="T30" s="4">
        <f t="shared" si="10"/>
        <v>14.565837682320023</v>
      </c>
    </row>
    <row r="31" spans="1:20">
      <c r="A31" s="5">
        <f t="shared" si="11"/>
        <v>27</v>
      </c>
      <c r="B31" s="2">
        <f t="shared" si="12"/>
        <v>12800</v>
      </c>
      <c r="C31" s="4">
        <f t="shared" si="16"/>
        <v>73.266958399999993</v>
      </c>
      <c r="D31" s="4">
        <f t="shared" si="0"/>
        <v>12726.7330416</v>
      </c>
      <c r="E31" s="4">
        <f t="shared" si="17"/>
        <v>170.06822060776085</v>
      </c>
      <c r="F31" s="4">
        <f t="shared" si="1"/>
        <v>12556.664820992239</v>
      </c>
      <c r="G31" s="4">
        <f t="shared" si="18"/>
        <v>189.84532691264016</v>
      </c>
      <c r="H31" s="4">
        <f t="shared" si="2"/>
        <v>12366.819494079598</v>
      </c>
      <c r="I31" s="4">
        <f t="shared" si="19"/>
        <v>65.08010850501789</v>
      </c>
      <c r="J31" s="15">
        <f t="shared" si="3"/>
        <v>498.26061442541891</v>
      </c>
      <c r="K31" s="15">
        <f t="shared" si="20"/>
        <v>421.82514630190281</v>
      </c>
      <c r="L31" s="4">
        <f t="shared" si="5"/>
        <v>76.435468123516102</v>
      </c>
      <c r="M31" s="17">
        <f t="shared" si="6"/>
        <v>3.8926610501985849E-2</v>
      </c>
      <c r="N31" s="17">
        <f t="shared" si="7"/>
        <v>5.5503308723934573E-2</v>
      </c>
      <c r="O31" s="20">
        <f t="shared" si="13"/>
        <v>-1.6576698221948724E-2</v>
      </c>
      <c r="P31" s="17">
        <f t="shared" si="8"/>
        <v>3.7464733388655837E-2</v>
      </c>
      <c r="Q31" s="20">
        <f t="shared" si="14"/>
        <v>1.4618771133300124E-3</v>
      </c>
      <c r="R31" s="17">
        <f t="shared" si="9"/>
        <v>3.2955089554836156E-2</v>
      </c>
      <c r="S31" s="15">
        <f t="shared" si="15"/>
        <v>479.54858737479469</v>
      </c>
      <c r="T31" s="4">
        <f t="shared" si="10"/>
        <v>18.712027050624215</v>
      </c>
    </row>
    <row r="32" spans="1:20">
      <c r="B32" s="2" t="s">
        <v>146</v>
      </c>
      <c r="C32" s="20">
        <f>+C31/B31</f>
        <v>5.7239811249999994E-3</v>
      </c>
      <c r="E32" s="20">
        <f>+E31/D31</f>
        <v>1.3363069693680001E-2</v>
      </c>
      <c r="F32" s="21"/>
      <c r="G32" s="20">
        <f>+G31/F31</f>
        <v>1.5119088517458605E-2</v>
      </c>
      <c r="I32" s="20">
        <f>+I31/H31</f>
        <v>5.2624774329546788E-3</v>
      </c>
    </row>
    <row r="33" spans="1:19">
      <c r="B33" s="2">
        <v>400</v>
      </c>
      <c r="C33" s="27"/>
    </row>
    <row r="34" spans="1:19">
      <c r="B34" s="3" t="s">
        <v>106</v>
      </c>
      <c r="C34" s="27"/>
      <c r="D34" s="3" t="s">
        <v>107</v>
      </c>
      <c r="F34" s="3" t="s">
        <v>108</v>
      </c>
      <c r="G34" s="3"/>
      <c r="H34" s="3" t="s">
        <v>109</v>
      </c>
    </row>
    <row r="35" spans="1:19">
      <c r="B35" s="33" t="s">
        <v>110</v>
      </c>
      <c r="C35" s="34" t="s">
        <v>111</v>
      </c>
      <c r="D35" s="33" t="s">
        <v>110</v>
      </c>
      <c r="E35" s="34" t="s">
        <v>111</v>
      </c>
      <c r="F35" s="33" t="s">
        <v>110</v>
      </c>
      <c r="G35" s="34" t="s">
        <v>111</v>
      </c>
      <c r="H35" s="33" t="s">
        <v>110</v>
      </c>
      <c r="I35" s="34" t="s">
        <v>111</v>
      </c>
    </row>
    <row r="36" spans="1:19">
      <c r="B36" s="65">
        <f>+B38</f>
        <v>17.273</v>
      </c>
      <c r="C36" s="63">
        <f t="shared" ref="C36:I36" si="21">+C38</f>
        <v>3.4176000000000001E-7</v>
      </c>
      <c r="D36" s="65">
        <f t="shared" si="21"/>
        <v>0</v>
      </c>
      <c r="E36" s="63">
        <f t="shared" si="21"/>
        <v>1.0499999999999999E-6</v>
      </c>
      <c r="F36" s="65">
        <f t="shared" si="21"/>
        <v>97.167000000000002</v>
      </c>
      <c r="G36" s="63">
        <f t="shared" si="21"/>
        <v>5.8780000000000001E-7</v>
      </c>
      <c r="H36" s="65">
        <f t="shared" si="21"/>
        <v>0</v>
      </c>
      <c r="I36" s="66">
        <f t="shared" si="21"/>
        <v>4.2553199999999998E-7</v>
      </c>
    </row>
    <row r="37" spans="1:19">
      <c r="B37" s="28"/>
      <c r="C37" s="29"/>
      <c r="D37" s="28"/>
      <c r="E37" s="29"/>
      <c r="F37" s="28"/>
      <c r="G37" s="29"/>
      <c r="H37" s="28"/>
      <c r="I37" s="29"/>
    </row>
    <row r="38" spans="1:19">
      <c r="B38" s="28">
        <v>17.273</v>
      </c>
      <c r="C38" s="29">
        <v>3.4176000000000001E-7</v>
      </c>
      <c r="D38" s="53">
        <v>0</v>
      </c>
      <c r="E38" s="35">
        <v>1.0499999999999999E-6</v>
      </c>
      <c r="F38" s="38">
        <v>97.167000000000002</v>
      </c>
      <c r="G38" s="29">
        <v>5.8780000000000001E-7</v>
      </c>
      <c r="H38" s="53">
        <v>0</v>
      </c>
      <c r="I38" s="29">
        <v>4.2553199999999998E-7</v>
      </c>
      <c r="J38" s="2">
        <v>1995</v>
      </c>
    </row>
    <row r="39" spans="1:19">
      <c r="B39" s="38" t="e">
        <f>+#REF!</f>
        <v>#REF!</v>
      </c>
      <c r="C39" s="64" t="e">
        <f>+#REF!</f>
        <v>#REF!</v>
      </c>
      <c r="D39" s="53" t="e">
        <f>+#REF!</f>
        <v>#REF!</v>
      </c>
      <c r="E39" s="64" t="e">
        <f>+#REF!</f>
        <v>#REF!</v>
      </c>
      <c r="F39" s="38" t="e">
        <f>+#REF!</f>
        <v>#REF!</v>
      </c>
      <c r="G39" s="64" t="e">
        <f>+#REF!</f>
        <v>#REF!</v>
      </c>
      <c r="H39" s="53" t="e">
        <f>+#REF!</f>
        <v>#REF!</v>
      </c>
      <c r="I39" s="40" t="e">
        <f>+#REF!</f>
        <v>#REF!</v>
      </c>
      <c r="J39" s="2">
        <v>2001</v>
      </c>
    </row>
    <row r="40" spans="1:19">
      <c r="B40" s="38" t="e">
        <f>+'Loss Analysis 2001 Mod'!B40</f>
        <v>#REF!</v>
      </c>
      <c r="C40" s="64" t="e">
        <f>+'Loss Analysis 2001 Mod'!C40</f>
        <v>#REF!</v>
      </c>
      <c r="D40" s="53">
        <f>+'Loss Analysis 2001 Mod'!D40</f>
        <v>0</v>
      </c>
      <c r="E40" s="64">
        <f>+'Loss Analysis 2001 Mod'!E40</f>
        <v>1.4130000000000001E-6</v>
      </c>
      <c r="F40" s="38" t="e">
        <f>+'Loss Analysis 2001 Mod'!F40</f>
        <v>#REF!</v>
      </c>
      <c r="G40" s="64" t="e">
        <f>+'Loss Analysis 2001 Mod'!G40</f>
        <v>#REF!</v>
      </c>
      <c r="H40" s="53">
        <f>+'Loss Analysis 2001 Mod'!H40</f>
        <v>0</v>
      </c>
      <c r="I40" s="40" t="e">
        <f>+'Loss Analysis 2001 Mod'!I40</f>
        <v>#REF!</v>
      </c>
      <c r="J40" s="2" t="s">
        <v>112</v>
      </c>
    </row>
    <row r="41" spans="1:19">
      <c r="B41" s="38"/>
      <c r="C41" s="29"/>
      <c r="D41" s="28"/>
      <c r="E41" s="29"/>
      <c r="F41" s="28"/>
      <c r="G41" s="29"/>
      <c r="H41" s="28"/>
      <c r="I41" s="29"/>
    </row>
    <row r="42" spans="1:19">
      <c r="A42" s="3"/>
      <c r="B42" s="39"/>
      <c r="C42" s="30"/>
      <c r="D42" s="31"/>
      <c r="E42" s="32"/>
      <c r="F42" s="31"/>
      <c r="G42" s="32"/>
      <c r="H42" s="31"/>
      <c r="I42" s="32"/>
      <c r="K42" s="3"/>
      <c r="N42" s="3"/>
      <c r="P42" s="3"/>
      <c r="R42" s="3"/>
      <c r="S42" s="3"/>
    </row>
    <row r="43" spans="1:19">
      <c r="C43" s="4"/>
      <c r="D43" s="4"/>
      <c r="E43" s="4"/>
      <c r="F43" s="4"/>
      <c r="G43" s="4"/>
      <c r="H43" s="4"/>
      <c r="I43" s="4"/>
      <c r="J43" s="4"/>
      <c r="M43" s="4"/>
    </row>
    <row r="44" spans="1:19">
      <c r="A44" s="3"/>
      <c r="B44" s="3"/>
      <c r="C44" s="3"/>
      <c r="K44" s="3"/>
      <c r="N44" s="3"/>
      <c r="P44" s="3"/>
      <c r="R44" s="3"/>
      <c r="S44" s="3"/>
    </row>
    <row r="45" spans="1:19">
      <c r="A45" s="3"/>
      <c r="B45" s="3"/>
      <c r="C45" s="3"/>
      <c r="K45" s="3"/>
      <c r="N45" s="3"/>
      <c r="P45" s="3"/>
      <c r="R45" s="3"/>
      <c r="S45" s="3"/>
    </row>
    <row r="46" spans="1:19">
      <c r="A46" s="3"/>
      <c r="B46" s="3"/>
      <c r="C46" s="3"/>
      <c r="K46" s="3"/>
      <c r="N46" s="3"/>
      <c r="P46" s="3"/>
      <c r="R46" s="3"/>
      <c r="S46" s="3"/>
    </row>
    <row r="47" spans="1:19">
      <c r="A47" s="3"/>
      <c r="B47" s="3"/>
      <c r="C47" s="3"/>
      <c r="K47" s="3"/>
      <c r="N47" s="3"/>
      <c r="P47" s="3"/>
      <c r="R47" s="3"/>
      <c r="S47" s="3"/>
    </row>
    <row r="48" spans="1:19">
      <c r="A48" s="3"/>
      <c r="B48" s="3"/>
      <c r="C48" s="3"/>
      <c r="K48" s="3"/>
      <c r="N48" s="3"/>
      <c r="P48" s="3"/>
      <c r="R48" s="3"/>
      <c r="S48" s="3"/>
    </row>
    <row r="49" spans="1:19">
      <c r="A49" s="3"/>
      <c r="B49" s="3"/>
      <c r="C49" s="3"/>
      <c r="K49" s="3"/>
      <c r="N49" s="3"/>
      <c r="P49" s="3"/>
      <c r="R49" s="3"/>
      <c r="S49" s="3"/>
    </row>
    <row r="50" spans="1:19">
      <c r="A50" s="3"/>
      <c r="B50" s="3"/>
      <c r="C50" s="3"/>
      <c r="K50" s="3"/>
      <c r="N50" s="3"/>
      <c r="P50" s="3"/>
      <c r="R50" s="3"/>
      <c r="S50" s="3"/>
    </row>
    <row r="51" spans="1:19">
      <c r="A51" s="3"/>
      <c r="B51" s="3"/>
      <c r="C51" s="3"/>
      <c r="K51" s="3"/>
      <c r="N51" s="3"/>
      <c r="P51" s="3"/>
      <c r="R51" s="3"/>
      <c r="S51" s="3"/>
    </row>
    <row r="52" spans="1:19">
      <c r="A52" s="3"/>
      <c r="B52" s="3"/>
      <c r="C52" s="3"/>
      <c r="K52" s="3"/>
      <c r="N52" s="3"/>
      <c r="P52" s="3"/>
      <c r="R52" s="3"/>
      <c r="S52" s="3"/>
    </row>
    <row r="53" spans="1:19">
      <c r="A53" s="3"/>
      <c r="B53" s="3"/>
      <c r="C53" s="3"/>
      <c r="K53" s="3"/>
      <c r="N53" s="3"/>
      <c r="P53" s="3"/>
      <c r="R53" s="3"/>
      <c r="S53" s="3"/>
    </row>
  </sheetData>
  <phoneticPr fontId="13" type="noConversion"/>
  <pageMargins left="0.25" right="0.25" top="0.75" bottom="0.75" header="0" footer="0"/>
  <pageSetup paperSize="5" scale="61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F207B-24CE-4231-ADDA-A942F60E9235}">
  <sheetPr>
    <pageSetUpPr fitToPage="1"/>
  </sheetPr>
  <dimension ref="A1:BZ136"/>
  <sheetViews>
    <sheetView zoomScale="60" zoomScaleNormal="60" workbookViewId="0">
      <pane ySplit="4" topLeftCell="A5" activePane="bottomLeft" state="frozen"/>
      <selection pane="bottomLeft" activeCell="M159" sqref="M159"/>
    </sheetView>
  </sheetViews>
  <sheetFormatPr defaultRowHeight="12.75"/>
  <cols>
    <col min="1" max="1" width="13.5703125" customWidth="1"/>
    <col min="2" max="2" width="25.42578125" style="2" bestFit="1" customWidth="1"/>
    <col min="3" max="3" width="7.5703125" style="2" customWidth="1"/>
    <col min="4" max="5" width="10.7109375" customWidth="1"/>
    <col min="6" max="6" width="13.140625" customWidth="1"/>
    <col min="7" max="7" width="13.28515625" customWidth="1"/>
    <col min="8" max="8" width="12.28515625" customWidth="1"/>
    <col min="9" max="9" width="10.42578125" customWidth="1"/>
    <col min="10" max="10" width="13.7109375" customWidth="1"/>
    <col min="11" max="11" width="15" customWidth="1"/>
    <col min="12" max="12" width="16.140625" customWidth="1"/>
    <col min="13" max="13" width="13" customWidth="1"/>
    <col min="14" max="14" width="14.85546875" customWidth="1"/>
    <col min="15" max="15" width="12.85546875" customWidth="1"/>
    <col min="16" max="16" width="23.42578125" bestFit="1" customWidth="1"/>
    <col min="17" max="17" width="15.7109375" bestFit="1" customWidth="1"/>
    <col min="18" max="18" width="15.85546875" style="1" customWidth="1"/>
    <col min="19" max="19" width="14.42578125" style="1" customWidth="1"/>
    <col min="20" max="20" width="17.5703125" customWidth="1"/>
    <col min="21" max="21" width="12.5703125" bestFit="1" customWidth="1"/>
    <col min="22" max="22" width="11.5703125" customWidth="1"/>
    <col min="23" max="23" width="13.42578125" customWidth="1"/>
    <col min="25" max="25" width="15.140625" bestFit="1" customWidth="1"/>
    <col min="27" max="28" width="10.85546875" style="2" customWidth="1"/>
  </cols>
  <sheetData>
    <row r="1" spans="1:78" ht="15.75" customHeight="1">
      <c r="A1" s="3"/>
      <c r="C1" s="446" t="s">
        <v>147</v>
      </c>
      <c r="D1" s="446"/>
      <c r="E1" s="446"/>
      <c r="F1" s="446"/>
      <c r="G1" s="446"/>
      <c r="H1" s="116"/>
      <c r="I1" s="6"/>
      <c r="J1" s="133"/>
      <c r="L1" s="3"/>
      <c r="M1" s="2"/>
      <c r="N1" s="2"/>
      <c r="O1" s="2"/>
      <c r="P1" s="6" t="s">
        <v>148</v>
      </c>
      <c r="Q1" s="6" t="s">
        <v>149</v>
      </c>
      <c r="R1" s="210" t="s">
        <v>150</v>
      </c>
      <c r="S1" s="135"/>
      <c r="T1" s="6" t="s">
        <v>148</v>
      </c>
      <c r="U1" s="6" t="s">
        <v>149</v>
      </c>
    </row>
    <row r="2" spans="1:78" ht="25.5" customHeight="1">
      <c r="A2" s="8" t="s">
        <v>34</v>
      </c>
      <c r="B2" s="8" t="s">
        <v>34</v>
      </c>
      <c r="C2" s="8"/>
      <c r="D2" s="8" t="s">
        <v>33</v>
      </c>
      <c r="E2" s="8" t="s">
        <v>33</v>
      </c>
      <c r="F2" s="8"/>
      <c r="G2" s="8" t="s">
        <v>125</v>
      </c>
      <c r="H2" s="105" t="s">
        <v>151</v>
      </c>
      <c r="I2" s="144" t="s">
        <v>152</v>
      </c>
      <c r="J2" s="144" t="s">
        <v>152</v>
      </c>
      <c r="K2" s="8"/>
      <c r="L2" s="8"/>
      <c r="M2" s="8"/>
      <c r="N2" s="105" t="s">
        <v>153</v>
      </c>
      <c r="O2" s="8"/>
      <c r="P2" s="105"/>
      <c r="Q2" s="105"/>
      <c r="R2" s="8"/>
      <c r="S2" s="8"/>
      <c r="T2" s="144" t="s">
        <v>152</v>
      </c>
      <c r="U2" s="352"/>
      <c r="V2" s="137" t="s">
        <v>154</v>
      </c>
      <c r="W2" s="86"/>
      <c r="AA2" s="2">
        <v>2008</v>
      </c>
      <c r="AB2" s="2">
        <v>2008</v>
      </c>
    </row>
    <row r="3" spans="1:78" s="141" customFormat="1" ht="25.5" customHeight="1">
      <c r="A3" s="96" t="s">
        <v>155</v>
      </c>
      <c r="B3" s="96" t="s">
        <v>156</v>
      </c>
      <c r="C3" s="96"/>
      <c r="D3" s="153" t="s">
        <v>155</v>
      </c>
      <c r="E3" s="96" t="s">
        <v>157</v>
      </c>
      <c r="F3" s="96" t="s">
        <v>158</v>
      </c>
      <c r="G3" s="96" t="s">
        <v>132</v>
      </c>
      <c r="H3" s="96" t="s">
        <v>159</v>
      </c>
      <c r="I3" s="145" t="s">
        <v>160</v>
      </c>
      <c r="J3" s="145" t="s">
        <v>161</v>
      </c>
      <c r="K3" s="96" t="s">
        <v>134</v>
      </c>
      <c r="L3" s="96" t="s">
        <v>135</v>
      </c>
      <c r="M3" s="96" t="s">
        <v>162</v>
      </c>
      <c r="N3" s="96" t="s">
        <v>163</v>
      </c>
      <c r="O3" s="96" t="s">
        <v>118</v>
      </c>
      <c r="P3" s="96" t="s">
        <v>118</v>
      </c>
      <c r="Q3" s="96" t="s">
        <v>118</v>
      </c>
      <c r="R3" s="96" t="s">
        <v>164</v>
      </c>
      <c r="S3" s="96" t="s">
        <v>164</v>
      </c>
      <c r="T3" s="145" t="s">
        <v>161</v>
      </c>
      <c r="U3" s="207" t="s">
        <v>161</v>
      </c>
      <c r="V3" s="138" t="s">
        <v>165</v>
      </c>
      <c r="W3" s="139" t="s">
        <v>166</v>
      </c>
      <c r="X3"/>
      <c r="Y3"/>
      <c r="Z3"/>
      <c r="AA3" s="140" t="s">
        <v>167</v>
      </c>
      <c r="AB3" s="140" t="s">
        <v>168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</row>
    <row r="4" spans="1:78">
      <c r="A4" s="13"/>
      <c r="B4" s="14"/>
      <c r="C4" s="14"/>
      <c r="D4" s="13"/>
      <c r="E4" s="23" t="s">
        <v>119</v>
      </c>
      <c r="F4" s="23" t="s">
        <v>119</v>
      </c>
      <c r="G4" s="23" t="s">
        <v>119</v>
      </c>
      <c r="H4" s="23" t="s">
        <v>119</v>
      </c>
      <c r="I4" s="14"/>
      <c r="J4" s="14"/>
      <c r="K4" s="23" t="s">
        <v>119</v>
      </c>
      <c r="L4" s="23" t="s">
        <v>119</v>
      </c>
      <c r="M4" s="23" t="s">
        <v>119</v>
      </c>
      <c r="N4" s="23" t="s">
        <v>119</v>
      </c>
      <c r="O4" s="23" t="s">
        <v>119</v>
      </c>
      <c r="P4" s="205" t="s">
        <v>120</v>
      </c>
      <c r="Q4" s="205" t="s">
        <v>120</v>
      </c>
      <c r="R4" s="23" t="s">
        <v>153</v>
      </c>
      <c r="S4" s="23" t="s">
        <v>151</v>
      </c>
      <c r="T4" s="14"/>
      <c r="U4" s="208"/>
    </row>
    <row r="5" spans="1:78">
      <c r="A5" s="6" t="s">
        <v>169</v>
      </c>
      <c r="E5" s="2"/>
      <c r="F5" s="118"/>
      <c r="G5" s="2"/>
      <c r="H5" s="2"/>
      <c r="I5" s="2"/>
      <c r="J5" s="79"/>
      <c r="K5" s="2"/>
      <c r="L5" s="2"/>
      <c r="M5" s="2"/>
      <c r="N5" s="2"/>
      <c r="O5" s="142"/>
      <c r="P5" s="2"/>
      <c r="Q5" s="134">
        <v>0</v>
      </c>
      <c r="T5" s="209"/>
      <c r="U5" s="134">
        <f>Q5</f>
        <v>0</v>
      </c>
    </row>
    <row r="6" spans="1:78">
      <c r="E6" s="2"/>
      <c r="G6" s="4"/>
      <c r="H6" s="4"/>
      <c r="I6" s="4"/>
      <c r="J6" s="4"/>
      <c r="K6" s="4"/>
      <c r="L6" s="4"/>
      <c r="M6" s="4"/>
      <c r="N6" s="4"/>
      <c r="P6" s="20"/>
      <c r="Q6" s="20"/>
      <c r="T6" s="104"/>
    </row>
    <row r="7" spans="1:78">
      <c r="D7" s="211"/>
      <c r="E7" s="212">
        <v>50</v>
      </c>
      <c r="F7" s="4">
        <f>$E$71+$F$71*E7*E7</f>
        <v>19.385354907500002</v>
      </c>
      <c r="G7" s="4">
        <f>+E7-F7</f>
        <v>30.614645092499998</v>
      </c>
      <c r="H7" s="4">
        <f>$H$71*G7*G7</f>
        <v>1.0679006768578717E-3</v>
      </c>
      <c r="I7" s="4">
        <f t="shared" ref="I7:I52" si="0">+H7+F7</f>
        <v>19.38642280817686</v>
      </c>
      <c r="J7" s="20">
        <f>+I7/E7</f>
        <v>0.38772845616353718</v>
      </c>
      <c r="K7" s="4">
        <f>+G7-H7</f>
        <v>30.61357719182314</v>
      </c>
      <c r="L7" s="4">
        <f>$K$71+$L$71*K7*K7</f>
        <v>172.13034068490018</v>
      </c>
      <c r="M7" s="4">
        <f>+K7-L7</f>
        <v>-141.51676349307704</v>
      </c>
      <c r="N7" s="4">
        <f>$N$71*M7*M7</f>
        <v>7.098768417143444E-3</v>
      </c>
      <c r="O7" s="15">
        <f t="shared" ref="O7:O52" si="1">+F7+H7+L7+N7</f>
        <v>191.52386226149417</v>
      </c>
      <c r="P7" s="215">
        <f t="shared" ref="P7:P52" si="2">O7/E7</f>
        <v>3.8304772452298836</v>
      </c>
      <c r="Q7" s="215">
        <f>P7*(1+$Q$5)</f>
        <v>3.8304772452298836</v>
      </c>
      <c r="T7" s="211"/>
      <c r="U7" s="211"/>
    </row>
    <row r="8" spans="1:78">
      <c r="D8" s="211"/>
      <c r="E8" s="212">
        <v>135</v>
      </c>
      <c r="F8" s="4">
        <f t="shared" ref="F8:F52" si="3">$E$71+$F$71*E8*E8</f>
        <v>19.387587275675003</v>
      </c>
      <c r="G8" s="4">
        <f>+E8-F8</f>
        <v>115.612412724325</v>
      </c>
      <c r="H8" s="4">
        <f t="shared" ref="H8:H52" si="4">$H$71*G8*G8</f>
        <v>1.5229348772285893E-2</v>
      </c>
      <c r="I8" s="4">
        <f t="shared" si="0"/>
        <v>19.40281662444729</v>
      </c>
      <c r="J8" s="20">
        <f t="shared" ref="J8:J52" si="5">+I8/E8</f>
        <v>0.14372456758849844</v>
      </c>
      <c r="K8" s="4">
        <f>+G8-H8</f>
        <v>115.59718337555272</v>
      </c>
      <c r="L8" s="4">
        <f t="shared" ref="L8:L52" si="6">$K$71+$L$71*K8*K8</f>
        <v>172.13485757181644</v>
      </c>
      <c r="M8" s="4">
        <f>+K8-L8</f>
        <v>-56.537674196263723</v>
      </c>
      <c r="N8" s="4">
        <f t="shared" ref="N8:N52" si="7">$N$71*M8*M8</f>
        <v>1.1330344396047146E-3</v>
      </c>
      <c r="O8" s="15">
        <f t="shared" si="1"/>
        <v>191.53880723070336</v>
      </c>
      <c r="P8" s="215">
        <f t="shared" si="2"/>
        <v>1.4188059794866916</v>
      </c>
      <c r="Q8" s="215">
        <f t="shared" ref="Q8:Q24" si="8">P8*(1+$Q$5)</f>
        <v>1.4188059794866916</v>
      </c>
      <c r="T8" s="211"/>
      <c r="U8" s="211"/>
    </row>
    <row r="9" spans="1:78">
      <c r="D9" s="211"/>
      <c r="E9" s="212">
        <v>500</v>
      </c>
      <c r="F9" s="4">
        <f t="shared" si="3"/>
        <v>19.420490750000003</v>
      </c>
      <c r="G9" s="4">
        <f>+E9-F9</f>
        <v>480.57950925</v>
      </c>
      <c r="H9" s="4">
        <f t="shared" si="4"/>
        <v>0.26314971420503308</v>
      </c>
      <c r="I9" s="4">
        <f t="shared" si="0"/>
        <v>19.683640464205034</v>
      </c>
      <c r="J9" s="20">
        <f t="shared" si="5"/>
        <v>3.9367280928410069E-2</v>
      </c>
      <c r="K9" s="4">
        <f>+G9-H9</f>
        <v>480.31635953579496</v>
      </c>
      <c r="L9" s="4">
        <f t="shared" si="6"/>
        <v>172.2138647551686</v>
      </c>
      <c r="M9" s="4">
        <f>+K9-L9</f>
        <v>308.10249478062633</v>
      </c>
      <c r="N9" s="4">
        <f t="shared" si="7"/>
        <v>3.3647876628429663E-2</v>
      </c>
      <c r="O9" s="15">
        <f t="shared" si="1"/>
        <v>191.93115309600208</v>
      </c>
      <c r="P9" s="215">
        <f t="shared" si="2"/>
        <v>0.38386230619200418</v>
      </c>
      <c r="Q9" s="215">
        <f t="shared" si="8"/>
        <v>0.38386230619200418</v>
      </c>
      <c r="T9" s="211"/>
      <c r="U9" s="211"/>
    </row>
    <row r="10" spans="1:78">
      <c r="A10" s="218">
        <f t="shared" ref="A10:A43" si="9">B10/4</f>
        <v>1582.9366532405713</v>
      </c>
      <c r="B10" s="218">
        <f t="shared" ref="B10:B52" si="10">E10*$B$56/$E$56</f>
        <v>6331.7466129622853</v>
      </c>
      <c r="D10" s="212">
        <f>E10/4</f>
        <v>250</v>
      </c>
      <c r="E10" s="212">
        <v>1000</v>
      </c>
      <c r="F10" s="4">
        <f t="shared" si="3"/>
        <v>19.526963000000002</v>
      </c>
      <c r="G10" s="4">
        <f t="shared" ref="G10:G52" si="11">+E10-F10</f>
        <v>980.47303699999998</v>
      </c>
      <c r="H10" s="4">
        <f t="shared" si="4"/>
        <v>1.0953267992642306</v>
      </c>
      <c r="I10" s="4">
        <f t="shared" si="0"/>
        <v>20.622289799264234</v>
      </c>
      <c r="J10" s="20">
        <f t="shared" si="5"/>
        <v>2.0622289799264233E-2</v>
      </c>
      <c r="K10" s="4">
        <f>+G10-H10</f>
        <v>979.37771020073569</v>
      </c>
      <c r="L10" s="4">
        <f t="shared" si="6"/>
        <v>172.4786784902449</v>
      </c>
      <c r="M10" s="4">
        <f>+K10-L10</f>
        <v>806.89903171049082</v>
      </c>
      <c r="N10" s="4">
        <f t="shared" si="7"/>
        <v>0.23078396035265866</v>
      </c>
      <c r="O10" s="15">
        <f t="shared" si="1"/>
        <v>193.33175224986178</v>
      </c>
      <c r="P10" s="215">
        <f t="shared" si="2"/>
        <v>0.19333175224986177</v>
      </c>
      <c r="Q10" s="215">
        <f t="shared" si="8"/>
        <v>0.19333175224986177</v>
      </c>
      <c r="T10" s="211"/>
      <c r="U10" s="211"/>
    </row>
    <row r="11" spans="1:78">
      <c r="A11" s="218">
        <f t="shared" si="9"/>
        <v>3799.047967777371</v>
      </c>
      <c r="B11" s="218">
        <f>E11*$B$56/$E$56</f>
        <v>15196.191871109484</v>
      </c>
      <c r="C11" s="73">
        <v>1</v>
      </c>
      <c r="D11" s="212">
        <f t="shared" ref="D11:D52" si="12">E11/4</f>
        <v>600</v>
      </c>
      <c r="E11" s="213">
        <v>2400</v>
      </c>
      <c r="F11" s="4">
        <f t="shared" si="3"/>
        <v>20.202706880000001</v>
      </c>
      <c r="G11" s="4">
        <f t="shared" si="11"/>
        <v>2379.7972931200002</v>
      </c>
      <c r="H11" s="4">
        <f t="shared" si="4"/>
        <v>6.4528613827836905</v>
      </c>
      <c r="I11" s="4">
        <f t="shared" si="0"/>
        <v>26.655568262783692</v>
      </c>
      <c r="J11" s="20">
        <f t="shared" si="5"/>
        <v>1.1106486776159871E-2</v>
      </c>
      <c r="K11" s="4">
        <f t="shared" ref="K11:K37" si="13">+G11-H11</f>
        <v>2373.3444317372164</v>
      </c>
      <c r="L11" s="4">
        <f t="shared" si="6"/>
        <v>174.17760539525216</v>
      </c>
      <c r="M11" s="4">
        <f t="shared" ref="M11:M37" si="14">+K11-L11</f>
        <v>2199.1668263419642</v>
      </c>
      <c r="N11" s="4">
        <f t="shared" si="7"/>
        <v>1.7142872084252156</v>
      </c>
      <c r="O11" s="15">
        <f t="shared" si="1"/>
        <v>202.54746086646108</v>
      </c>
      <c r="P11" s="215">
        <f t="shared" si="2"/>
        <v>8.4394775361025451E-2</v>
      </c>
      <c r="Q11" s="215">
        <f t="shared" si="8"/>
        <v>8.4394775361025451E-2</v>
      </c>
      <c r="R11" s="136">
        <f t="shared" ref="R11:R52" si="15">$B$119*A11/$A$56+$B$120+$B$121*$A$56/A11</f>
        <v>7.8825489884657637E-2</v>
      </c>
      <c r="S11" s="136">
        <f t="shared" ref="S11:S46" si="16">$S$73*A11/$A$56+$S$74+$S$75*$A$56/A11</f>
        <v>1.0881498924386668E-2</v>
      </c>
      <c r="T11" s="215">
        <f>J11</f>
        <v>1.1106486776159871E-2</v>
      </c>
      <c r="U11" s="215">
        <f t="shared" ref="U11:U24" si="17">T11*(1+$Q$5)</f>
        <v>1.1106486776159871E-2</v>
      </c>
      <c r="X11" s="206"/>
      <c r="Y11" s="206"/>
      <c r="AA11" s="4">
        <f t="shared" ref="AA11:AA19" si="18">I11*(1+$Q$5)</f>
        <v>26.655568262783692</v>
      </c>
      <c r="AB11" s="4">
        <f t="shared" ref="AB11:AB22" si="19">O11*(1+$Q$5)</f>
        <v>202.54746086646108</v>
      </c>
    </row>
    <row r="12" spans="1:78">
      <c r="A12" s="218">
        <f t="shared" si="9"/>
        <v>4432.2226290735998</v>
      </c>
      <c r="B12" s="218">
        <f t="shared" si="10"/>
        <v>17728.890516294399</v>
      </c>
      <c r="C12" s="2">
        <f t="shared" ref="C12:C52" si="20">1+C11</f>
        <v>2</v>
      </c>
      <c r="D12" s="212">
        <f t="shared" si="12"/>
        <v>700</v>
      </c>
      <c r="E12" s="213">
        <v>2800</v>
      </c>
      <c r="F12" s="4">
        <f t="shared" si="3"/>
        <v>20.497989920000002</v>
      </c>
      <c r="G12" s="4">
        <f t="shared" si="11"/>
        <v>2779.5020100800002</v>
      </c>
      <c r="H12" s="4">
        <f t="shared" si="4"/>
        <v>8.8025071882355235</v>
      </c>
      <c r="I12" s="4">
        <f t="shared" si="0"/>
        <v>29.300497108235525</v>
      </c>
      <c r="J12" s="20">
        <f t="shared" si="5"/>
        <v>1.0464463252941258E-2</v>
      </c>
      <c r="K12" s="4">
        <f t="shared" si="13"/>
        <v>2770.6995028917645</v>
      </c>
      <c r="L12" s="4">
        <f t="shared" si="6"/>
        <v>174.92063848497801</v>
      </c>
      <c r="M12" s="4">
        <f t="shared" si="14"/>
        <v>2595.7788644067864</v>
      </c>
      <c r="N12" s="4">
        <f t="shared" si="7"/>
        <v>2.3883755524068833</v>
      </c>
      <c r="O12" s="4">
        <f t="shared" si="1"/>
        <v>206.60951114562042</v>
      </c>
      <c r="P12" s="215">
        <f t="shared" si="2"/>
        <v>7.3789111123435863E-2</v>
      </c>
      <c r="Q12" s="215">
        <f t="shared" si="8"/>
        <v>7.3789111123435863E-2</v>
      </c>
      <c r="R12" s="136">
        <f t="shared" si="15"/>
        <v>6.8966735222576764E-2</v>
      </c>
      <c r="S12" s="136">
        <f t="shared" si="16"/>
        <v>9.7505359474987334E-3</v>
      </c>
      <c r="T12" s="215">
        <f t="shared" ref="T12:T52" si="21">J12</f>
        <v>1.0464463252941258E-2</v>
      </c>
      <c r="U12" s="215">
        <f t="shared" si="17"/>
        <v>1.0464463252941258E-2</v>
      </c>
      <c r="X12" s="206"/>
      <c r="Y12" s="206"/>
      <c r="AA12" s="4">
        <f t="shared" si="18"/>
        <v>29.300497108235525</v>
      </c>
      <c r="AB12" s="4">
        <f t="shared" si="19"/>
        <v>206.60951114562042</v>
      </c>
    </row>
    <row r="13" spans="1:78">
      <c r="A13" s="218">
        <f t="shared" si="9"/>
        <v>5065.3972903698277</v>
      </c>
      <c r="B13" s="218">
        <f t="shared" si="10"/>
        <v>20261.589161479311</v>
      </c>
      <c r="C13" s="2">
        <f t="shared" si="20"/>
        <v>3</v>
      </c>
      <c r="D13" s="212">
        <f t="shared" si="12"/>
        <v>800</v>
      </c>
      <c r="E13" s="213">
        <v>3200</v>
      </c>
      <c r="F13" s="4">
        <f t="shared" si="3"/>
        <v>20.838701120000003</v>
      </c>
      <c r="G13" s="4">
        <f t="shared" si="11"/>
        <v>3179.1612988799998</v>
      </c>
      <c r="H13" s="4">
        <f t="shared" si="4"/>
        <v>11.515890572693637</v>
      </c>
      <c r="I13" s="4">
        <f t="shared" si="0"/>
        <v>32.354591692693639</v>
      </c>
      <c r="J13" s="20">
        <f t="shared" si="5"/>
        <v>1.0110809903966763E-2</v>
      </c>
      <c r="K13" s="4">
        <f t="shared" si="13"/>
        <v>3167.6454083073063</v>
      </c>
      <c r="L13" s="4">
        <f t="shared" si="6"/>
        <v>175.77752137442837</v>
      </c>
      <c r="M13" s="4">
        <f t="shared" si="14"/>
        <v>2991.8678869328778</v>
      </c>
      <c r="N13" s="4">
        <f t="shared" si="7"/>
        <v>3.1728683881008277</v>
      </c>
      <c r="O13" s="4">
        <f t="shared" si="1"/>
        <v>211.30498145522284</v>
      </c>
      <c r="P13" s="215">
        <f t="shared" si="2"/>
        <v>6.6032806704757141E-2</v>
      </c>
      <c r="Q13" s="215">
        <f t="shared" si="8"/>
        <v>6.6032806704757141E-2</v>
      </c>
      <c r="R13" s="136">
        <f t="shared" si="15"/>
        <v>6.1826788596210186E-2</v>
      </c>
      <c r="S13" s="136">
        <f t="shared" si="16"/>
        <v>9.1133475241822262E-3</v>
      </c>
      <c r="T13" s="215">
        <f t="shared" si="21"/>
        <v>1.0110809903966763E-2</v>
      </c>
      <c r="U13" s="215">
        <f t="shared" si="17"/>
        <v>1.0110809903966763E-2</v>
      </c>
      <c r="X13" s="206"/>
      <c r="Y13" s="206"/>
      <c r="AA13" s="4">
        <f t="shared" si="18"/>
        <v>32.354591692693639</v>
      </c>
      <c r="AB13" s="4">
        <f t="shared" si="19"/>
        <v>211.30498145522284</v>
      </c>
    </row>
    <row r="14" spans="1:78">
      <c r="A14" s="218">
        <f t="shared" si="9"/>
        <v>5698.5719516660565</v>
      </c>
      <c r="B14" s="218">
        <f t="shared" si="10"/>
        <v>22794.287806664226</v>
      </c>
      <c r="C14" s="2">
        <f t="shared" si="20"/>
        <v>4</v>
      </c>
      <c r="D14" s="212">
        <f t="shared" si="12"/>
        <v>900</v>
      </c>
      <c r="E14" s="213">
        <v>3600</v>
      </c>
      <c r="F14" s="4">
        <f t="shared" si="3"/>
        <v>21.224840480000001</v>
      </c>
      <c r="G14" s="15">
        <f t="shared" si="11"/>
        <v>3578.7751595200002</v>
      </c>
      <c r="H14" s="4">
        <f t="shared" si="4"/>
        <v>14.592887417031177</v>
      </c>
      <c r="I14" s="15">
        <f t="shared" si="0"/>
        <v>35.817727897031176</v>
      </c>
      <c r="J14" s="17">
        <f t="shared" si="5"/>
        <v>9.9493688602864377E-3</v>
      </c>
      <c r="K14" s="15">
        <f t="shared" si="13"/>
        <v>3564.1822721029689</v>
      </c>
      <c r="L14" s="4">
        <f t="shared" si="6"/>
        <v>176.74790013791858</v>
      </c>
      <c r="M14" s="15">
        <f t="shared" si="14"/>
        <v>3387.4343719650506</v>
      </c>
      <c r="N14" s="4">
        <f t="shared" si="7"/>
        <v>4.0673262823742808</v>
      </c>
      <c r="O14" s="15">
        <f t="shared" si="1"/>
        <v>216.63295431732402</v>
      </c>
      <c r="P14" s="216">
        <f t="shared" si="2"/>
        <v>6.0175820643701118E-2</v>
      </c>
      <c r="Q14" s="216">
        <f t="shared" si="8"/>
        <v>6.0175820643701118E-2</v>
      </c>
      <c r="R14" s="136">
        <f t="shared" si="15"/>
        <v>5.6499380660319787E-2</v>
      </c>
      <c r="S14" s="136">
        <f t="shared" si="16"/>
        <v>8.8053421365800067E-3</v>
      </c>
      <c r="T14" s="215">
        <f t="shared" si="21"/>
        <v>9.9493688602864377E-3</v>
      </c>
      <c r="U14" s="215">
        <f t="shared" si="17"/>
        <v>9.9493688602864377E-3</v>
      </c>
      <c r="V14" s="2"/>
      <c r="W14" s="2"/>
      <c r="X14" s="206"/>
      <c r="Y14" s="206"/>
      <c r="AA14" s="4">
        <f t="shared" si="18"/>
        <v>35.817727897031176</v>
      </c>
      <c r="AB14" s="4">
        <f t="shared" si="19"/>
        <v>216.63295431732402</v>
      </c>
    </row>
    <row r="15" spans="1:78">
      <c r="A15" s="218">
        <f t="shared" si="9"/>
        <v>6331.7466129622853</v>
      </c>
      <c r="B15" s="218">
        <f t="shared" si="10"/>
        <v>25326.986451849141</v>
      </c>
      <c r="C15" s="2">
        <f t="shared" si="20"/>
        <v>5</v>
      </c>
      <c r="D15" s="212">
        <f t="shared" si="12"/>
        <v>1000</v>
      </c>
      <c r="E15" s="213">
        <v>4000</v>
      </c>
      <c r="F15" s="4">
        <f t="shared" si="3"/>
        <v>21.656408000000003</v>
      </c>
      <c r="G15" s="15">
        <f t="shared" si="11"/>
        <v>3978.3435920000002</v>
      </c>
      <c r="H15" s="4">
        <f t="shared" si="4"/>
        <v>18.033373616229547</v>
      </c>
      <c r="I15" s="15">
        <f t="shared" si="0"/>
        <v>39.689781616229553</v>
      </c>
      <c r="J15" s="17">
        <f t="shared" si="5"/>
        <v>9.9224454040573885E-3</v>
      </c>
      <c r="K15" s="15">
        <f t="shared" si="13"/>
        <v>3960.3102183837705</v>
      </c>
      <c r="L15" s="4">
        <f t="shared" si="6"/>
        <v>177.83142135786042</v>
      </c>
      <c r="M15" s="15">
        <f t="shared" si="14"/>
        <v>3782.4787970259099</v>
      </c>
      <c r="N15" s="4">
        <f t="shared" si="7"/>
        <v>5.0713109179734808</v>
      </c>
      <c r="O15" s="15">
        <f t="shared" si="1"/>
        <v>222.59251389206347</v>
      </c>
      <c r="P15" s="216">
        <f t="shared" si="2"/>
        <v>5.5648128473015868E-2</v>
      </c>
      <c r="Q15" s="216">
        <f t="shared" si="8"/>
        <v>5.5648128473015868E-2</v>
      </c>
      <c r="R15" s="136">
        <f t="shared" si="15"/>
        <v>5.2440749807762727E-2</v>
      </c>
      <c r="S15" s="136">
        <f t="shared" si="16"/>
        <v>8.7277648739777832E-3</v>
      </c>
      <c r="T15" s="215">
        <f t="shared" si="21"/>
        <v>9.9224454040573885E-3</v>
      </c>
      <c r="U15" s="215">
        <f t="shared" si="17"/>
        <v>9.9224454040573885E-3</v>
      </c>
      <c r="V15" s="2"/>
      <c r="W15" s="2"/>
      <c r="X15" s="206"/>
      <c r="Y15" s="206"/>
      <c r="AA15" s="4">
        <f t="shared" si="18"/>
        <v>39.689781616229553</v>
      </c>
      <c r="AB15" s="4">
        <f t="shared" si="19"/>
        <v>222.59251389206347</v>
      </c>
    </row>
    <row r="16" spans="1:78">
      <c r="A16" s="218">
        <f t="shared" si="9"/>
        <v>6964.9212742585132</v>
      </c>
      <c r="B16" s="218">
        <f t="shared" si="10"/>
        <v>27859.685097034053</v>
      </c>
      <c r="C16" s="2">
        <f t="shared" si="20"/>
        <v>6</v>
      </c>
      <c r="D16" s="212">
        <f t="shared" si="12"/>
        <v>1100</v>
      </c>
      <c r="E16" s="213">
        <v>4400</v>
      </c>
      <c r="F16" s="4">
        <f t="shared" si="3"/>
        <v>22.133403680000001</v>
      </c>
      <c r="G16" s="15">
        <f t="shared" si="11"/>
        <v>4377.8665963200001</v>
      </c>
      <c r="H16" s="4">
        <f t="shared" si="4"/>
        <v>21.837225079378431</v>
      </c>
      <c r="I16" s="15">
        <f t="shared" si="0"/>
        <v>43.970628759378428</v>
      </c>
      <c r="J16" s="17">
        <f t="shared" si="5"/>
        <v>9.993324718040552E-3</v>
      </c>
      <c r="K16" s="15">
        <f t="shared" si="13"/>
        <v>4356.0293712406219</v>
      </c>
      <c r="L16" s="4">
        <f t="shared" si="6"/>
        <v>179.02773212437285</v>
      </c>
      <c r="M16" s="15">
        <f t="shared" si="14"/>
        <v>4177.001639116249</v>
      </c>
      <c r="N16" s="4">
        <f t="shared" si="7"/>
        <v>6.1843850910245228</v>
      </c>
      <c r="O16" s="15">
        <f t="shared" si="1"/>
        <v>229.1827459747758</v>
      </c>
      <c r="P16" s="216">
        <f t="shared" si="2"/>
        <v>5.2086987721539954E-2</v>
      </c>
      <c r="Q16" s="216">
        <f t="shared" si="8"/>
        <v>5.2086987721539954E-2</v>
      </c>
      <c r="R16" s="136">
        <f t="shared" si="15"/>
        <v>4.9304865924902644E-2</v>
      </c>
      <c r="S16" s="136">
        <f t="shared" si="16"/>
        <v>8.8177717022846526E-3</v>
      </c>
      <c r="T16" s="215">
        <f t="shared" si="21"/>
        <v>9.993324718040552E-3</v>
      </c>
      <c r="U16" s="215">
        <f t="shared" si="17"/>
        <v>9.993324718040552E-3</v>
      </c>
      <c r="V16" s="2"/>
      <c r="W16" s="2"/>
      <c r="X16" s="206"/>
      <c r="Y16" s="206"/>
      <c r="AA16" s="4">
        <f t="shared" si="18"/>
        <v>43.970628759378428</v>
      </c>
      <c r="AB16" s="4">
        <f t="shared" si="19"/>
        <v>229.1827459747758</v>
      </c>
    </row>
    <row r="17" spans="1:28">
      <c r="A17" s="218">
        <f t="shared" si="9"/>
        <v>7598.095935554742</v>
      </c>
      <c r="B17" s="218">
        <f t="shared" si="10"/>
        <v>30392.383742218968</v>
      </c>
      <c r="C17" s="2">
        <f t="shared" si="20"/>
        <v>7</v>
      </c>
      <c r="D17" s="212">
        <f t="shared" si="12"/>
        <v>1200</v>
      </c>
      <c r="E17" s="213">
        <v>4800</v>
      </c>
      <c r="F17" s="4">
        <f t="shared" si="3"/>
        <v>22.655827520000003</v>
      </c>
      <c r="G17" s="15">
        <f t="shared" si="11"/>
        <v>4777.3441724799995</v>
      </c>
      <c r="H17" s="4">
        <f t="shared" si="4"/>
        <v>26.004317729675797</v>
      </c>
      <c r="I17" s="15">
        <f t="shared" si="0"/>
        <v>48.6601452496758</v>
      </c>
      <c r="J17" s="17">
        <f t="shared" si="5"/>
        <v>1.0137530260349125E-2</v>
      </c>
      <c r="K17" s="15">
        <f t="shared" si="13"/>
        <v>4751.3398547503239</v>
      </c>
      <c r="L17" s="4">
        <f t="shared" si="6"/>
        <v>180.33648003489273</v>
      </c>
      <c r="M17" s="15">
        <f t="shared" si="14"/>
        <v>4571.0033747154312</v>
      </c>
      <c r="N17" s="4">
        <f t="shared" si="7"/>
        <v>7.4061127085393545</v>
      </c>
      <c r="O17" s="15">
        <f t="shared" si="1"/>
        <v>236.40273799310788</v>
      </c>
      <c r="P17" s="216">
        <f t="shared" si="2"/>
        <v>4.9250570415230809E-2</v>
      </c>
      <c r="Q17" s="216">
        <f t="shared" si="8"/>
        <v>4.9250570415230809E-2</v>
      </c>
      <c r="R17" s="136">
        <f t="shared" si="15"/>
        <v>4.686104226931527E-2</v>
      </c>
      <c r="S17" s="136">
        <f t="shared" si="16"/>
        <v>9.0334665987733404E-3</v>
      </c>
      <c r="T17" s="215">
        <f t="shared" si="21"/>
        <v>1.0137530260349125E-2</v>
      </c>
      <c r="U17" s="215">
        <f t="shared" si="17"/>
        <v>1.0137530260349125E-2</v>
      </c>
      <c r="V17" s="2"/>
      <c r="W17" s="2"/>
      <c r="X17" s="206"/>
      <c r="Y17" s="206"/>
      <c r="AA17" s="4">
        <f t="shared" si="18"/>
        <v>48.6601452496758</v>
      </c>
      <c r="AB17" s="4">
        <f t="shared" si="19"/>
        <v>236.40273799310788</v>
      </c>
    </row>
    <row r="18" spans="1:28">
      <c r="A18" s="218">
        <f t="shared" si="9"/>
        <v>8231.2705968509708</v>
      </c>
      <c r="B18" s="218">
        <f t="shared" si="10"/>
        <v>32925.082387403883</v>
      </c>
      <c r="C18" s="2">
        <f t="shared" si="20"/>
        <v>8</v>
      </c>
      <c r="D18" s="212">
        <f t="shared" si="12"/>
        <v>1300</v>
      </c>
      <c r="E18" s="213">
        <v>5200</v>
      </c>
      <c r="F18" s="4">
        <f t="shared" si="3"/>
        <v>23.223679520000001</v>
      </c>
      <c r="G18" s="15">
        <f t="shared" si="11"/>
        <v>5176.7763204800003</v>
      </c>
      <c r="H18" s="4">
        <f t="shared" si="4"/>
        <v>30.534527504427903</v>
      </c>
      <c r="I18" s="15">
        <f t="shared" si="0"/>
        <v>53.758207024427904</v>
      </c>
      <c r="J18" s="17">
        <f t="shared" si="5"/>
        <v>1.0338116735466904E-2</v>
      </c>
      <c r="K18" s="15">
        <f t="shared" si="13"/>
        <v>5146.241792975572</v>
      </c>
      <c r="L18" s="4">
        <f t="shared" si="6"/>
        <v>181.75731319378588</v>
      </c>
      <c r="M18" s="15">
        <f t="shared" si="14"/>
        <v>4964.4844797817859</v>
      </c>
      <c r="N18" s="4">
        <f t="shared" si="7"/>
        <v>8.7360587859269554</v>
      </c>
      <c r="O18" s="15">
        <f t="shared" si="1"/>
        <v>244.25157900414075</v>
      </c>
      <c r="P18" s="216">
        <f t="shared" si="2"/>
        <v>4.6971457500796301E-2</v>
      </c>
      <c r="Q18" s="216">
        <f t="shared" si="8"/>
        <v>4.6971457500796301E-2</v>
      </c>
      <c r="R18" s="136">
        <f t="shared" si="15"/>
        <v>4.4949572634706926E-2</v>
      </c>
      <c r="S18" s="136">
        <f t="shared" si="16"/>
        <v>9.3458446246326606E-3</v>
      </c>
      <c r="T18" s="216">
        <f t="shared" si="21"/>
        <v>1.0338116735466904E-2</v>
      </c>
      <c r="U18" s="216">
        <f t="shared" si="17"/>
        <v>1.0338116735466904E-2</v>
      </c>
      <c r="V18" s="2"/>
      <c r="W18" s="2"/>
      <c r="X18" s="206"/>
      <c r="Y18" s="206"/>
      <c r="AA18" s="4">
        <f t="shared" si="18"/>
        <v>53.758207024427904</v>
      </c>
      <c r="AB18" s="4">
        <f t="shared" si="19"/>
        <v>244.25157900414075</v>
      </c>
    </row>
    <row r="19" spans="1:28">
      <c r="A19" s="218">
        <f t="shared" si="9"/>
        <v>8864.4452581471996</v>
      </c>
      <c r="B19" s="218">
        <f t="shared" si="10"/>
        <v>35457.781032588799</v>
      </c>
      <c r="C19" s="2">
        <f t="shared" si="20"/>
        <v>9</v>
      </c>
      <c r="D19" s="212">
        <f t="shared" si="12"/>
        <v>1400</v>
      </c>
      <c r="E19" s="213">
        <v>5600</v>
      </c>
      <c r="F19" s="4">
        <f t="shared" si="3"/>
        <v>23.836959680000003</v>
      </c>
      <c r="G19" s="15">
        <f t="shared" si="11"/>
        <v>5576.1630403199997</v>
      </c>
      <c r="H19" s="4">
        <f t="shared" si="4"/>
        <v>35.427730355049235</v>
      </c>
      <c r="I19" s="15">
        <f t="shared" si="0"/>
        <v>59.264690035049242</v>
      </c>
      <c r="J19" s="17">
        <f t="shared" si="5"/>
        <v>1.058298036340165E-2</v>
      </c>
      <c r="K19" s="15">
        <f t="shared" si="13"/>
        <v>5540.7353099649508</v>
      </c>
      <c r="L19" s="4">
        <f t="shared" si="6"/>
        <v>183.28988021195826</v>
      </c>
      <c r="M19" s="15">
        <f t="shared" si="14"/>
        <v>5357.4454297529928</v>
      </c>
      <c r="N19" s="4">
        <f t="shared" si="7"/>
        <v>10.173789444509636</v>
      </c>
      <c r="O19" s="15">
        <f t="shared" si="1"/>
        <v>252.72835969151714</v>
      </c>
      <c r="P19" s="216">
        <f t="shared" si="2"/>
        <v>4.5130064230628063E-2</v>
      </c>
      <c r="Q19" s="216">
        <f t="shared" si="8"/>
        <v>4.5130064230628063E-2</v>
      </c>
      <c r="R19" s="136">
        <f t="shared" si="15"/>
        <v>4.3456381159439249E-2</v>
      </c>
      <c r="S19" s="136">
        <f t="shared" si="16"/>
        <v>9.7341879664260417E-3</v>
      </c>
      <c r="T19" s="216">
        <f t="shared" si="21"/>
        <v>1.058298036340165E-2</v>
      </c>
      <c r="U19" s="216">
        <f t="shared" si="17"/>
        <v>1.058298036340165E-2</v>
      </c>
      <c r="V19" s="2"/>
      <c r="X19" s="206"/>
      <c r="Y19" s="206"/>
      <c r="AA19" s="4">
        <f t="shared" si="18"/>
        <v>59.264690035049242</v>
      </c>
      <c r="AB19" s="4">
        <f t="shared" si="19"/>
        <v>252.72835969151714</v>
      </c>
    </row>
    <row r="20" spans="1:28">
      <c r="A20" s="218">
        <f t="shared" si="9"/>
        <v>9497.6199194434266</v>
      </c>
      <c r="B20" s="218">
        <f t="shared" si="10"/>
        <v>37990.479677773706</v>
      </c>
      <c r="C20" s="2">
        <f t="shared" si="20"/>
        <v>10</v>
      </c>
      <c r="D20" s="212">
        <f t="shared" si="12"/>
        <v>1500</v>
      </c>
      <c r="E20" s="213">
        <v>6000</v>
      </c>
      <c r="F20" s="4">
        <f t="shared" si="3"/>
        <v>24.495668000000002</v>
      </c>
      <c r="G20" s="15">
        <f t="shared" si="11"/>
        <v>5975.5043320000004</v>
      </c>
      <c r="H20" s="4">
        <f t="shared" si="4"/>
        <v>40.683802247062609</v>
      </c>
      <c r="I20" s="15">
        <f t="shared" si="0"/>
        <v>65.179470247062611</v>
      </c>
      <c r="J20" s="17">
        <f t="shared" si="5"/>
        <v>1.0863245041177102E-2</v>
      </c>
      <c r="K20" s="15">
        <f t="shared" si="13"/>
        <v>5934.8205297529375</v>
      </c>
      <c r="L20" s="4">
        <f t="shared" si="6"/>
        <v>184.93383020646726</v>
      </c>
      <c r="M20" s="15">
        <f t="shared" si="14"/>
        <v>5749.8866995464705</v>
      </c>
      <c r="N20" s="4">
        <f t="shared" si="7"/>
        <v>11.718871909044482</v>
      </c>
      <c r="O20" s="15">
        <f t="shared" si="1"/>
        <v>261.83217236257434</v>
      </c>
      <c r="P20" s="216">
        <f t="shared" si="2"/>
        <v>4.3638695393762389E-2</v>
      </c>
      <c r="Q20" s="216">
        <f t="shared" si="8"/>
        <v>4.3638695393762389E-2</v>
      </c>
      <c r="R20" s="136">
        <f t="shared" si="15"/>
        <v>4.2297812211644095E-2</v>
      </c>
      <c r="S20" s="136">
        <f t="shared" si="16"/>
        <v>1.0183303560966677E-2</v>
      </c>
      <c r="T20" s="216">
        <f t="shared" si="21"/>
        <v>1.0863245041177102E-2</v>
      </c>
      <c r="U20" s="216">
        <f t="shared" si="17"/>
        <v>1.0863245041177102E-2</v>
      </c>
      <c r="V20" s="2"/>
      <c r="X20" s="206"/>
      <c r="Y20" s="206"/>
      <c r="AA20" s="4">
        <f>U20*E20</f>
        <v>65.179470247062611</v>
      </c>
      <c r="AB20" s="4">
        <f t="shared" si="19"/>
        <v>261.83217236257434</v>
      </c>
    </row>
    <row r="21" spans="1:28">
      <c r="A21" s="218">
        <f t="shared" si="9"/>
        <v>10130.794580739655</v>
      </c>
      <c r="B21" s="218">
        <f t="shared" si="10"/>
        <v>40523.178322958622</v>
      </c>
      <c r="C21" s="2">
        <f t="shared" si="20"/>
        <v>11</v>
      </c>
      <c r="D21" s="212">
        <f t="shared" si="12"/>
        <v>1600</v>
      </c>
      <c r="E21" s="213">
        <v>6400</v>
      </c>
      <c r="F21" s="4">
        <f t="shared" si="3"/>
        <v>25.199804480000001</v>
      </c>
      <c r="G21" s="15">
        <f t="shared" si="11"/>
        <v>6374.8001955199998</v>
      </c>
      <c r="H21" s="4">
        <f t="shared" si="4"/>
        <v>46.302619160099077</v>
      </c>
      <c r="I21" s="15">
        <f t="shared" si="0"/>
        <v>71.502423640099082</v>
      </c>
      <c r="J21" s="17">
        <f t="shared" si="5"/>
        <v>1.1172253693765481E-2</v>
      </c>
      <c r="K21" s="15">
        <f t="shared" si="13"/>
        <v>6328.4975763599004</v>
      </c>
      <c r="L21" s="4">
        <f t="shared" si="6"/>
        <v>186.68881280013326</v>
      </c>
      <c r="M21" s="15">
        <f t="shared" si="14"/>
        <v>6141.8087635597676</v>
      </c>
      <c r="N21" s="4">
        <f t="shared" si="7"/>
        <v>13.370874505249951</v>
      </c>
      <c r="O21" s="15">
        <f t="shared" si="1"/>
        <v>271.56211094548229</v>
      </c>
      <c r="P21" s="216">
        <f t="shared" si="2"/>
        <v>4.243157983523161E-2</v>
      </c>
      <c r="Q21" s="216">
        <f t="shared" si="8"/>
        <v>4.243157983523161E-2</v>
      </c>
      <c r="R21" s="136">
        <f t="shared" si="15"/>
        <v>4.1411124067420368E-2</v>
      </c>
      <c r="S21" s="136">
        <f t="shared" si="16"/>
        <v>1.0681796610864455E-2</v>
      </c>
      <c r="T21" s="216">
        <f t="shared" si="21"/>
        <v>1.1172253693765481E-2</v>
      </c>
      <c r="U21" s="216">
        <f t="shared" si="17"/>
        <v>1.1172253693765481E-2</v>
      </c>
      <c r="V21" s="2"/>
      <c r="X21" s="206"/>
      <c r="Y21" s="206"/>
      <c r="AA21" s="4">
        <f>U21*E21</f>
        <v>71.502423640099082</v>
      </c>
      <c r="AB21" s="4">
        <f t="shared" si="19"/>
        <v>271.56211094548229</v>
      </c>
    </row>
    <row r="22" spans="1:28" s="150" customFormat="1">
      <c r="A22" s="219">
        <f t="shared" si="9"/>
        <v>10763.969242035884</v>
      </c>
      <c r="B22" s="219">
        <f t="shared" si="10"/>
        <v>43055.876968143537</v>
      </c>
      <c r="C22" s="146">
        <f>1+C21</f>
        <v>12</v>
      </c>
      <c r="D22" s="214">
        <f t="shared" si="12"/>
        <v>1700</v>
      </c>
      <c r="E22" s="214">
        <v>6800</v>
      </c>
      <c r="F22" s="4">
        <f t="shared" si="3"/>
        <v>25.949369120000004</v>
      </c>
      <c r="G22" s="147">
        <f t="shared" si="11"/>
        <v>6774.0506308800004</v>
      </c>
      <c r="H22" s="4">
        <f t="shared" si="4"/>
        <v>52.284057087898006</v>
      </c>
      <c r="I22" s="147">
        <f t="shared" si="0"/>
        <v>78.233426207898006</v>
      </c>
      <c r="J22" s="148">
        <f t="shared" si="5"/>
        <v>1.150491561880853E-2</v>
      </c>
      <c r="K22" s="147">
        <f t="shared" si="13"/>
        <v>6721.7665737921025</v>
      </c>
      <c r="L22" s="4">
        <f t="shared" si="6"/>
        <v>188.55447812115133</v>
      </c>
      <c r="M22" s="147">
        <f t="shared" si="14"/>
        <v>6533.2120956709514</v>
      </c>
      <c r="N22" s="4">
        <f t="shared" si="7"/>
        <v>15.129366657337545</v>
      </c>
      <c r="O22" s="147">
        <f t="shared" si="1"/>
        <v>281.91727098638688</v>
      </c>
      <c r="P22" s="217">
        <f t="shared" si="2"/>
        <v>4.1458422203880421E-2</v>
      </c>
      <c r="Q22" s="217">
        <f t="shared" si="8"/>
        <v>4.1458422203880421E-2</v>
      </c>
      <c r="R22" s="149">
        <f t="shared" si="15"/>
        <v>4.0748337761431927E-2</v>
      </c>
      <c r="S22" s="149">
        <f t="shared" si="16"/>
        <v>1.1220953447526941E-2</v>
      </c>
      <c r="T22" s="217">
        <f t="shared" si="21"/>
        <v>1.150491561880853E-2</v>
      </c>
      <c r="U22" s="217">
        <f t="shared" si="17"/>
        <v>1.150491561880853E-2</v>
      </c>
      <c r="W22" s="151"/>
      <c r="X22" s="206"/>
      <c r="Y22" s="206"/>
      <c r="AA22" s="152">
        <f>U22*E22</f>
        <v>78.233426207898006</v>
      </c>
      <c r="AB22" s="152">
        <f t="shared" si="19"/>
        <v>281.91727098638688</v>
      </c>
    </row>
    <row r="23" spans="1:28" s="151" customFormat="1">
      <c r="A23" s="219">
        <f t="shared" si="9"/>
        <v>11397.143903332113</v>
      </c>
      <c r="B23" s="219">
        <f>E23*$B$56/$E$56</f>
        <v>45588.575613328452</v>
      </c>
      <c r="C23" s="146">
        <f t="shared" si="20"/>
        <v>13</v>
      </c>
      <c r="D23" s="214">
        <f t="shared" si="12"/>
        <v>1800</v>
      </c>
      <c r="E23" s="214">
        <v>7200</v>
      </c>
      <c r="F23" s="4">
        <f t="shared" si="3"/>
        <v>26.744361920000003</v>
      </c>
      <c r="G23" s="147">
        <f t="shared" si="11"/>
        <v>7173.2556380799997</v>
      </c>
      <c r="H23" s="4">
        <f t="shared" si="4"/>
        <v>58.627992038306971</v>
      </c>
      <c r="I23" s="147">
        <f t="shared" si="0"/>
        <v>85.372353958306974</v>
      </c>
      <c r="J23" s="148">
        <f t="shared" si="5"/>
        <v>1.1857271383098191E-2</v>
      </c>
      <c r="K23" s="147">
        <f t="shared" si="13"/>
        <v>7114.627646041693</v>
      </c>
      <c r="L23" s="4">
        <f t="shared" si="6"/>
        <v>190.53047680270305</v>
      </c>
      <c r="M23" s="147">
        <f t="shared" si="14"/>
        <v>6924.0971692389903</v>
      </c>
      <c r="N23" s="4">
        <f t="shared" si="7"/>
        <v>16.993918885548613</v>
      </c>
      <c r="O23" s="147">
        <f t="shared" si="1"/>
        <v>292.89674964655865</v>
      </c>
      <c r="P23" s="217">
        <f t="shared" si="2"/>
        <v>4.0680104117577588E-2</v>
      </c>
      <c r="Q23" s="217">
        <f t="shared" si="8"/>
        <v>4.0680104117577588E-2</v>
      </c>
      <c r="R23" s="149">
        <f t="shared" si="15"/>
        <v>4.027213632063957E-2</v>
      </c>
      <c r="S23" s="149">
        <f t="shared" si="16"/>
        <v>1.1793996773160014E-2</v>
      </c>
      <c r="T23" s="217">
        <f t="shared" si="21"/>
        <v>1.1857271383098191E-2</v>
      </c>
      <c r="U23" s="217">
        <f t="shared" si="17"/>
        <v>1.1857271383098191E-2</v>
      </c>
      <c r="X23" s="206"/>
      <c r="Y23" s="206"/>
      <c r="AA23" s="147">
        <f>U23*E23</f>
        <v>85.372353958306974</v>
      </c>
      <c r="AB23" s="147">
        <f>Q23*E23</f>
        <v>292.89674964655865</v>
      </c>
    </row>
    <row r="24" spans="1:28">
      <c r="A24" s="218">
        <f t="shared" si="9"/>
        <v>12030.318564628342</v>
      </c>
      <c r="B24" s="218">
        <f t="shared" si="10"/>
        <v>48121.274258513367</v>
      </c>
      <c r="C24" s="2">
        <f t="shared" si="20"/>
        <v>14</v>
      </c>
      <c r="D24" s="212">
        <f t="shared" si="12"/>
        <v>1900</v>
      </c>
      <c r="E24" s="213">
        <v>7600</v>
      </c>
      <c r="F24" s="4">
        <f t="shared" si="3"/>
        <v>27.584782880000002</v>
      </c>
      <c r="G24" s="15">
        <f t="shared" si="11"/>
        <v>7572.4152171200003</v>
      </c>
      <c r="H24" s="4">
        <f t="shared" si="4"/>
        <v>65.33430003328192</v>
      </c>
      <c r="I24" s="15">
        <f t="shared" si="0"/>
        <v>92.919082913281926</v>
      </c>
      <c r="J24" s="17">
        <f t="shared" si="5"/>
        <v>1.2226195120168674E-2</v>
      </c>
      <c r="K24" s="15">
        <f t="shared" si="13"/>
        <v>7507.0809170867187</v>
      </c>
      <c r="L24" s="4">
        <f t="shared" si="6"/>
        <v>192.61645998256864</v>
      </c>
      <c r="M24" s="15">
        <f t="shared" si="14"/>
        <v>7314.4644571041499</v>
      </c>
      <c r="N24" s="4">
        <f t="shared" si="7"/>
        <v>18.964102803696278</v>
      </c>
      <c r="O24" s="15">
        <f t="shared" si="1"/>
        <v>304.49964569954682</v>
      </c>
      <c r="P24" s="216">
        <f t="shared" si="2"/>
        <v>4.0065742855203527E-2</v>
      </c>
      <c r="Q24" s="216">
        <f t="shared" si="8"/>
        <v>4.0065742855203527E-2</v>
      </c>
      <c r="R24" s="136">
        <f t="shared" si="15"/>
        <v>3.9953058976854444E-2</v>
      </c>
      <c r="S24" s="136">
        <f t="shared" si="16"/>
        <v>1.239557608950516E-2</v>
      </c>
      <c r="T24" s="216">
        <f t="shared" si="21"/>
        <v>1.2226195120168674E-2</v>
      </c>
      <c r="U24" s="216">
        <f t="shared" si="17"/>
        <v>1.2226195120168674E-2</v>
      </c>
      <c r="V24" s="117">
        <v>0</v>
      </c>
      <c r="W24" s="117">
        <v>0</v>
      </c>
      <c r="X24" s="206"/>
      <c r="Y24" s="206"/>
      <c r="AA24" s="4">
        <f>U24*E24</f>
        <v>92.919082913281926</v>
      </c>
      <c r="AB24" s="4">
        <f t="shared" ref="AB24:AB44" si="22">Q24*E24</f>
        <v>304.49964569954682</v>
      </c>
    </row>
    <row r="25" spans="1:28">
      <c r="A25" s="218">
        <f t="shared" si="9"/>
        <v>12663.493225924571</v>
      </c>
      <c r="B25" s="218">
        <f t="shared" si="10"/>
        <v>50653.972903698283</v>
      </c>
      <c r="C25" s="2">
        <f>1+C24</f>
        <v>15</v>
      </c>
      <c r="D25" s="212">
        <f t="shared" si="12"/>
        <v>2000</v>
      </c>
      <c r="E25" s="213">
        <v>8000</v>
      </c>
      <c r="F25" s="4">
        <f t="shared" si="3"/>
        <v>28.470632000000002</v>
      </c>
      <c r="G25" s="15">
        <f t="shared" si="11"/>
        <v>7971.5293680000004</v>
      </c>
      <c r="H25" s="4">
        <f t="shared" si="4"/>
        <v>72.402857108887019</v>
      </c>
      <c r="I25" s="15">
        <f t="shared" si="0"/>
        <v>100.87348910888701</v>
      </c>
      <c r="J25" s="17">
        <f t="shared" si="5"/>
        <v>1.2609186138610878E-2</v>
      </c>
      <c r="K25" s="268">
        <f t="shared" si="13"/>
        <v>7899.1265108911139</v>
      </c>
      <c r="L25" s="4">
        <f t="shared" si="6"/>
        <v>194.81207930273914</v>
      </c>
      <c r="M25" s="268">
        <f t="shared" si="14"/>
        <v>7704.3144315883746</v>
      </c>
      <c r="N25" s="4">
        <f t="shared" si="7"/>
        <v>21.039491116712398</v>
      </c>
      <c r="O25" s="15">
        <f t="shared" si="1"/>
        <v>316.72505952833853</v>
      </c>
      <c r="P25" s="216">
        <f t="shared" si="2"/>
        <v>3.9590632441042314E-2</v>
      </c>
      <c r="Q25" s="216">
        <f>P25+(V25/$V$39)*$P$69</f>
        <v>3.9847299107708983E-2</v>
      </c>
      <c r="R25" s="136">
        <f t="shared" si="15"/>
        <v>3.9767537115525456E-2</v>
      </c>
      <c r="S25" s="136">
        <f t="shared" si="16"/>
        <v>1.3021410997955569E-2</v>
      </c>
      <c r="T25" s="216">
        <f t="shared" si="21"/>
        <v>1.2609186138610878E-2</v>
      </c>
      <c r="U25" s="216">
        <f t="shared" ref="U25:U52" si="23">T25+(W25/$W$39)*$Q$69</f>
        <v>1.2896519471944212E-2</v>
      </c>
      <c r="V25" s="73">
        <v>1</v>
      </c>
      <c r="W25" s="73">
        <v>1</v>
      </c>
      <c r="X25" s="206"/>
      <c r="Y25" s="206"/>
      <c r="AA25" s="4">
        <f t="shared" ref="AA25:AA44" si="24">U25*E25</f>
        <v>103.17215577555369</v>
      </c>
      <c r="AB25" s="4">
        <f t="shared" si="22"/>
        <v>318.77839286167188</v>
      </c>
    </row>
    <row r="26" spans="1:28">
      <c r="A26" s="218">
        <f t="shared" si="9"/>
        <v>13296.667887220798</v>
      </c>
      <c r="B26" s="218">
        <f t="shared" si="10"/>
        <v>53186.671548883191</v>
      </c>
      <c r="C26" s="2">
        <f t="shared" si="20"/>
        <v>16</v>
      </c>
      <c r="D26" s="212">
        <f t="shared" si="12"/>
        <v>2100</v>
      </c>
      <c r="E26" s="213">
        <v>8400</v>
      </c>
      <c r="F26" s="4">
        <f t="shared" si="3"/>
        <v>29.401909280000005</v>
      </c>
      <c r="G26" s="15">
        <f t="shared" si="11"/>
        <v>8370.5980907199992</v>
      </c>
      <c r="H26" s="4">
        <f t="shared" si="4"/>
        <v>79.833539315294644</v>
      </c>
      <c r="I26" s="15">
        <f t="shared" si="0"/>
        <v>109.23544859529466</v>
      </c>
      <c r="J26" s="17">
        <f t="shared" si="5"/>
        <v>1.3004220070868412E-2</v>
      </c>
      <c r="K26" s="15">
        <f t="shared" si="13"/>
        <v>8290.7645514047053</v>
      </c>
      <c r="L26" s="4">
        <f t="shared" si="6"/>
        <v>197.1169869090287</v>
      </c>
      <c r="M26" s="15">
        <f t="shared" si="14"/>
        <v>8093.6475644956763</v>
      </c>
      <c r="N26" s="4">
        <f t="shared" si="7"/>
        <v>23.219657618199648</v>
      </c>
      <c r="O26" s="15">
        <f t="shared" si="1"/>
        <v>329.57209312252303</v>
      </c>
      <c r="P26" s="216">
        <f t="shared" si="2"/>
        <v>3.9234772990776552E-2</v>
      </c>
      <c r="Q26" s="216">
        <f t="shared" ref="Q26:Q52" si="25">P26+(V26/$V$39)*$P$69</f>
        <v>3.9748106324109883E-2</v>
      </c>
      <c r="R26" s="136">
        <f t="shared" si="15"/>
        <v>3.969649138201601E-2</v>
      </c>
      <c r="S26" s="136">
        <f t="shared" si="16"/>
        <v>1.3668036413924776E-2</v>
      </c>
      <c r="T26" s="216">
        <f t="shared" si="21"/>
        <v>1.3004220070868412E-2</v>
      </c>
      <c r="U26" s="216">
        <f t="shared" si="23"/>
        <v>1.3578886737535078E-2</v>
      </c>
      <c r="V26" s="73">
        <v>2</v>
      </c>
      <c r="W26" s="73">
        <v>2</v>
      </c>
      <c r="X26" s="206"/>
      <c r="Y26" s="206"/>
      <c r="AA26" s="4">
        <f t="shared" si="24"/>
        <v>114.06264859529466</v>
      </c>
      <c r="AB26" s="4">
        <f t="shared" si="22"/>
        <v>333.88409312252304</v>
      </c>
    </row>
    <row r="27" spans="1:28">
      <c r="A27" s="218">
        <f t="shared" si="9"/>
        <v>13929.842548517026</v>
      </c>
      <c r="B27" s="218">
        <f t="shared" si="10"/>
        <v>55719.370194068106</v>
      </c>
      <c r="C27" s="2">
        <f t="shared" si="20"/>
        <v>17</v>
      </c>
      <c r="D27" s="212">
        <f t="shared" si="12"/>
        <v>2200</v>
      </c>
      <c r="E27" s="213">
        <v>8800</v>
      </c>
      <c r="F27" s="4">
        <f t="shared" si="3"/>
        <v>30.378614720000002</v>
      </c>
      <c r="G27" s="15">
        <f t="shared" si="11"/>
        <v>8769.6213852799992</v>
      </c>
      <c r="H27" s="4">
        <f t="shared" si="4"/>
        <v>87.62622271678562</v>
      </c>
      <c r="I27" s="15">
        <f t="shared" si="0"/>
        <v>118.00483743678562</v>
      </c>
      <c r="J27" s="17">
        <f t="shared" si="5"/>
        <v>1.3409640617816548E-2</v>
      </c>
      <c r="K27" s="15">
        <f t="shared" si="13"/>
        <v>8681.9951625632129</v>
      </c>
      <c r="L27" s="4">
        <f t="shared" si="6"/>
        <v>199.53083545068731</v>
      </c>
      <c r="M27" s="15">
        <f t="shared" si="14"/>
        <v>8482.464327112526</v>
      </c>
      <c r="N27" s="4">
        <f t="shared" si="7"/>
        <v>25.504177187988681</v>
      </c>
      <c r="O27" s="15">
        <f t="shared" si="1"/>
        <v>343.03985007546157</v>
      </c>
      <c r="P27" s="216">
        <f t="shared" si="2"/>
        <v>3.8981801144938814E-2</v>
      </c>
      <c r="Q27" s="216">
        <f t="shared" si="25"/>
        <v>3.9751801144938814E-2</v>
      </c>
      <c r="R27" s="136">
        <f t="shared" si="15"/>
        <v>3.9724311395259816E-2</v>
      </c>
      <c r="S27" s="136">
        <f t="shared" si="16"/>
        <v>1.4332617268205672E-2</v>
      </c>
      <c r="T27" s="216">
        <f t="shared" si="21"/>
        <v>1.3409640617816548E-2</v>
      </c>
      <c r="U27" s="216">
        <f t="shared" si="23"/>
        <v>1.4271640617816548E-2</v>
      </c>
      <c r="V27" s="73">
        <v>3</v>
      </c>
      <c r="W27" s="73">
        <v>3</v>
      </c>
      <c r="X27" s="206"/>
      <c r="Y27" s="206"/>
      <c r="AA27" s="4">
        <f t="shared" si="24"/>
        <v>125.59043743678562</v>
      </c>
      <c r="AB27" s="4">
        <f t="shared" si="22"/>
        <v>349.81585007546158</v>
      </c>
    </row>
    <row r="28" spans="1:28">
      <c r="A28" s="218">
        <f t="shared" si="9"/>
        <v>14563.017209813255</v>
      </c>
      <c r="B28" s="218">
        <f t="shared" si="10"/>
        <v>58252.068839253021</v>
      </c>
      <c r="C28" s="2">
        <f t="shared" si="20"/>
        <v>18</v>
      </c>
      <c r="D28" s="212">
        <f t="shared" si="12"/>
        <v>2300</v>
      </c>
      <c r="E28" s="213">
        <v>9200</v>
      </c>
      <c r="F28" s="4">
        <f t="shared" si="3"/>
        <v>31.400748320000002</v>
      </c>
      <c r="G28" s="15">
        <f t="shared" si="11"/>
        <v>9168.5992516799997</v>
      </c>
      <c r="H28" s="4">
        <f t="shared" si="4"/>
        <v>95.780783391748912</v>
      </c>
      <c r="I28" s="15">
        <f t="shared" si="0"/>
        <v>127.18153171174892</v>
      </c>
      <c r="J28" s="17">
        <f t="shared" si="5"/>
        <v>1.3824079533885751E-2</v>
      </c>
      <c r="K28" s="15">
        <f t="shared" si="13"/>
        <v>9072.8184682882511</v>
      </c>
      <c r="L28" s="4">
        <f t="shared" si="6"/>
        <v>202.05327808001354</v>
      </c>
      <c r="M28" s="15">
        <f t="shared" si="14"/>
        <v>8870.765190208238</v>
      </c>
      <c r="N28" s="4">
        <f t="shared" si="7"/>
        <v>27.892625789700322</v>
      </c>
      <c r="O28" s="15">
        <f t="shared" si="1"/>
        <v>357.12743558146281</v>
      </c>
      <c r="P28" s="216">
        <f t="shared" si="2"/>
        <v>3.881819951972422E-2</v>
      </c>
      <c r="Q28" s="216">
        <f t="shared" si="25"/>
        <v>3.9844866186390888E-2</v>
      </c>
      <c r="R28" s="136">
        <f t="shared" si="15"/>
        <v>3.9838101623071664E-2</v>
      </c>
      <c r="S28" s="136">
        <f t="shared" si="16"/>
        <v>1.5012811547105428E-2</v>
      </c>
      <c r="T28" s="215">
        <f t="shared" si="21"/>
        <v>1.3824079533885751E-2</v>
      </c>
      <c r="U28" s="215">
        <f t="shared" si="23"/>
        <v>1.4973412867219085E-2</v>
      </c>
      <c r="V28" s="73">
        <v>4</v>
      </c>
      <c r="W28" s="73">
        <v>4</v>
      </c>
      <c r="X28" s="206"/>
      <c r="Y28" s="206"/>
      <c r="AA28" s="4">
        <f t="shared" si="24"/>
        <v>137.75539837841558</v>
      </c>
      <c r="AB28" s="4">
        <f t="shared" si="22"/>
        <v>366.5727689147962</v>
      </c>
    </row>
    <row r="29" spans="1:28" s="5" customFormat="1">
      <c r="A29" s="220">
        <f t="shared" si="9"/>
        <v>15196.191871109484</v>
      </c>
      <c r="B29" s="220">
        <f t="shared" si="10"/>
        <v>60784.767484437936</v>
      </c>
      <c r="C29" s="73">
        <f t="shared" si="20"/>
        <v>19</v>
      </c>
      <c r="D29" s="213">
        <f t="shared" si="12"/>
        <v>2400</v>
      </c>
      <c r="E29" s="213">
        <v>9600</v>
      </c>
      <c r="F29" s="4">
        <f t="shared" si="3"/>
        <v>32.468310080000002</v>
      </c>
      <c r="G29" s="15">
        <f t="shared" si="11"/>
        <v>9567.5316899200006</v>
      </c>
      <c r="H29" s="4">
        <f t="shared" si="4"/>
        <v>104.29709743268181</v>
      </c>
      <c r="I29" s="15">
        <f t="shared" si="0"/>
        <v>136.7654075126818</v>
      </c>
      <c r="J29" s="17">
        <f t="shared" si="5"/>
        <v>1.4246396615904355E-2</v>
      </c>
      <c r="K29" s="15">
        <f t="shared" si="13"/>
        <v>9463.2345924873189</v>
      </c>
      <c r="L29" s="4">
        <f t="shared" si="6"/>
        <v>204.68396845196725</v>
      </c>
      <c r="M29" s="15">
        <f t="shared" si="14"/>
        <v>9258.5506240353516</v>
      </c>
      <c r="N29" s="4">
        <f t="shared" si="7"/>
        <v>30.384580468312791</v>
      </c>
      <c r="O29" s="15">
        <f t="shared" si="1"/>
        <v>371.83395643296183</v>
      </c>
      <c r="P29" s="216">
        <f t="shared" si="2"/>
        <v>3.8732703795100187E-2</v>
      </c>
      <c r="Q29" s="216">
        <f t="shared" si="25"/>
        <v>4.0016037128433518E-2</v>
      </c>
      <c r="R29" s="136">
        <f t="shared" si="15"/>
        <v>4.0027115788630538E-2</v>
      </c>
      <c r="S29" s="136">
        <f t="shared" si="16"/>
        <v>1.5706667572546684E-2</v>
      </c>
      <c r="T29" s="216">
        <f t="shared" si="21"/>
        <v>1.4246396615904355E-2</v>
      </c>
      <c r="U29" s="216">
        <f t="shared" si="23"/>
        <v>1.5683063282571023E-2</v>
      </c>
      <c r="V29" s="73">
        <v>5</v>
      </c>
      <c r="W29" s="73">
        <v>5</v>
      </c>
      <c r="X29" s="206"/>
      <c r="Y29" s="206"/>
      <c r="AA29" s="15">
        <f t="shared" si="24"/>
        <v>150.55740751268181</v>
      </c>
      <c r="AB29" s="15">
        <f t="shared" si="22"/>
        <v>384.15395643296176</v>
      </c>
    </row>
    <row r="30" spans="1:28" s="5" customFormat="1">
      <c r="A30" s="220">
        <f t="shared" si="9"/>
        <v>15829.366532405713</v>
      </c>
      <c r="B30" s="220">
        <f t="shared" si="10"/>
        <v>63317.466129622851</v>
      </c>
      <c r="C30" s="73">
        <f t="shared" si="20"/>
        <v>20</v>
      </c>
      <c r="D30" s="213">
        <f t="shared" si="12"/>
        <v>2500</v>
      </c>
      <c r="E30" s="213">
        <v>10000</v>
      </c>
      <c r="F30" s="4">
        <f t="shared" si="3"/>
        <v>33.581299999999999</v>
      </c>
      <c r="G30" s="15">
        <f t="shared" si="11"/>
        <v>9966.4187000000002</v>
      </c>
      <c r="H30" s="4">
        <f t="shared" si="4"/>
        <v>113.1750409461898</v>
      </c>
      <c r="I30" s="15">
        <f t="shared" si="0"/>
        <v>146.75634094618979</v>
      </c>
      <c r="J30" s="17">
        <f t="shared" si="5"/>
        <v>1.4675634094618979E-2</v>
      </c>
      <c r="K30" s="15">
        <f t="shared" si="13"/>
        <v>9853.2436590538109</v>
      </c>
      <c r="L30" s="4">
        <f t="shared" si="6"/>
        <v>207.42256072378296</v>
      </c>
      <c r="M30" s="15">
        <f t="shared" si="14"/>
        <v>9645.8210983300287</v>
      </c>
      <c r="N30" s="4">
        <f t="shared" si="7"/>
        <v>32.979619347734065</v>
      </c>
      <c r="O30" s="15">
        <f t="shared" si="1"/>
        <v>387.15852101770685</v>
      </c>
      <c r="P30" s="216">
        <f t="shared" si="2"/>
        <v>3.8715852101770684E-2</v>
      </c>
      <c r="Q30" s="216">
        <f t="shared" si="25"/>
        <v>4.0255852101770684E-2</v>
      </c>
      <c r="R30" s="136">
        <f t="shared" si="15"/>
        <v>4.0282327019406816E-2</v>
      </c>
      <c r="S30" s="136">
        <f t="shared" si="16"/>
        <v>1.6412545934944466E-2</v>
      </c>
      <c r="T30" s="216">
        <f t="shared" si="21"/>
        <v>1.4675634094618979E-2</v>
      </c>
      <c r="U30" s="216">
        <f t="shared" si="23"/>
        <v>1.6399634094618979E-2</v>
      </c>
      <c r="V30" s="73">
        <v>6</v>
      </c>
      <c r="W30" s="73">
        <v>6</v>
      </c>
      <c r="X30" s="206"/>
      <c r="Y30" s="206"/>
      <c r="AA30" s="15">
        <f t="shared" si="24"/>
        <v>163.9963409461898</v>
      </c>
      <c r="AB30" s="15">
        <f t="shared" si="22"/>
        <v>402.55852101770682</v>
      </c>
    </row>
    <row r="31" spans="1:28" s="151" customFormat="1">
      <c r="A31" s="219">
        <f t="shared" si="9"/>
        <v>16462.541193701942</v>
      </c>
      <c r="B31" s="219">
        <f t="shared" si="10"/>
        <v>65850.164774807767</v>
      </c>
      <c r="C31" s="146">
        <f t="shared" si="20"/>
        <v>21</v>
      </c>
      <c r="D31" s="214">
        <f t="shared" si="12"/>
        <v>2600</v>
      </c>
      <c r="E31" s="214">
        <v>10400</v>
      </c>
      <c r="F31" s="4">
        <f t="shared" si="3"/>
        <v>34.739718080000003</v>
      </c>
      <c r="G31" s="147">
        <f t="shared" si="11"/>
        <v>10365.26028192</v>
      </c>
      <c r="H31" s="4">
        <f t="shared" si="4"/>
        <v>122.41449005298675</v>
      </c>
      <c r="I31" s="147">
        <f t="shared" si="0"/>
        <v>157.15420813298675</v>
      </c>
      <c r="J31" s="148">
        <f t="shared" si="5"/>
        <v>1.5110981551248726E-2</v>
      </c>
      <c r="K31" s="147">
        <f t="shared" si="13"/>
        <v>10242.845791867014</v>
      </c>
      <c r="L31" s="4">
        <f t="shared" si="6"/>
        <v>210.26870955458287</v>
      </c>
      <c r="M31" s="147">
        <f t="shared" si="14"/>
        <v>10032.577082312431</v>
      </c>
      <c r="N31" s="4">
        <f t="shared" si="7"/>
        <v>35.677321628379147</v>
      </c>
      <c r="O31" s="147">
        <f t="shared" si="1"/>
        <v>403.10023931594878</v>
      </c>
      <c r="P31" s="217">
        <f t="shared" si="2"/>
        <v>3.8759638395764309E-2</v>
      </c>
      <c r="Q31" s="216">
        <f t="shared" si="25"/>
        <v>4.0556305062430978E-2</v>
      </c>
      <c r="R31" s="149">
        <f t="shared" si="15"/>
        <v>4.0596097192490785E-2</v>
      </c>
      <c r="S31" s="149">
        <f t="shared" si="16"/>
        <v>1.7129059441573013E-2</v>
      </c>
      <c r="T31" s="217">
        <f t="shared" si="21"/>
        <v>1.5110981551248726E-2</v>
      </c>
      <c r="U31" s="217">
        <f t="shared" si="23"/>
        <v>1.712231488458206E-2</v>
      </c>
      <c r="V31" s="146">
        <v>7</v>
      </c>
      <c r="W31" s="146">
        <v>7</v>
      </c>
      <c r="X31" s="206"/>
      <c r="Y31" s="206"/>
      <c r="AA31" s="147">
        <f t="shared" si="24"/>
        <v>178.07207479965342</v>
      </c>
      <c r="AB31" s="147">
        <f t="shared" si="22"/>
        <v>421.78557264928219</v>
      </c>
    </row>
    <row r="32" spans="1:28" s="151" customFormat="1">
      <c r="A32" s="219">
        <f t="shared" si="9"/>
        <v>17095.715854998169</v>
      </c>
      <c r="B32" s="219">
        <f t="shared" si="10"/>
        <v>68382.863419992675</v>
      </c>
      <c r="C32" s="146">
        <f t="shared" si="20"/>
        <v>22</v>
      </c>
      <c r="D32" s="214">
        <f t="shared" si="12"/>
        <v>2700</v>
      </c>
      <c r="E32" s="214">
        <v>10800</v>
      </c>
      <c r="F32" s="4">
        <f t="shared" si="3"/>
        <v>35.943564320000007</v>
      </c>
      <c r="G32" s="147">
        <f t="shared" si="11"/>
        <v>10764.056435680001</v>
      </c>
      <c r="H32" s="4">
        <f t="shared" si="4"/>
        <v>132.0153208878948</v>
      </c>
      <c r="I32" s="147">
        <f t="shared" si="0"/>
        <v>167.95888520789481</v>
      </c>
      <c r="J32" s="148">
        <f t="shared" si="5"/>
        <v>1.5551748630360631E-2</v>
      </c>
      <c r="K32" s="147">
        <f t="shared" si="13"/>
        <v>10632.041114792106</v>
      </c>
      <c r="L32" s="4">
        <f t="shared" si="6"/>
        <v>213.22207010499045</v>
      </c>
      <c r="M32" s="147">
        <f t="shared" si="14"/>
        <v>10418.819044687116</v>
      </c>
      <c r="N32" s="4">
        <f t="shared" si="7"/>
        <v>38.477267584752504</v>
      </c>
      <c r="O32" s="147">
        <f t="shared" si="1"/>
        <v>419.65822289763776</v>
      </c>
      <c r="P32" s="217">
        <f t="shared" si="2"/>
        <v>3.8857242860892385E-2</v>
      </c>
      <c r="Q32" s="216">
        <f t="shared" si="25"/>
        <v>4.0910576194225716E-2</v>
      </c>
      <c r="R32" s="149">
        <f t="shared" si="15"/>
        <v>4.0961919758737142E-2</v>
      </c>
      <c r="S32" s="149">
        <f t="shared" si="16"/>
        <v>1.7855026409740019E-2</v>
      </c>
      <c r="T32" s="217">
        <f t="shared" si="21"/>
        <v>1.5551748630360631E-2</v>
      </c>
      <c r="U32" s="217">
        <f t="shared" si="23"/>
        <v>1.7850415297027297E-2</v>
      </c>
      <c r="V32" s="146">
        <v>8</v>
      </c>
      <c r="W32" s="146">
        <v>8</v>
      </c>
      <c r="X32" s="206"/>
      <c r="Y32" s="206"/>
      <c r="AA32" s="147">
        <f t="shared" si="24"/>
        <v>192.78448520789479</v>
      </c>
      <c r="AB32" s="147">
        <f t="shared" si="22"/>
        <v>441.83422289763774</v>
      </c>
    </row>
    <row r="33" spans="1:28" s="151" customFormat="1">
      <c r="A33" s="219">
        <f t="shared" si="9"/>
        <v>17728.890516294399</v>
      </c>
      <c r="B33" s="219">
        <f t="shared" si="10"/>
        <v>70915.562065177597</v>
      </c>
      <c r="C33" s="146">
        <f t="shared" si="20"/>
        <v>23</v>
      </c>
      <c r="D33" s="214">
        <f t="shared" si="12"/>
        <v>2800</v>
      </c>
      <c r="E33" s="214">
        <v>11200</v>
      </c>
      <c r="F33" s="4">
        <f t="shared" si="3"/>
        <v>37.192838720000005</v>
      </c>
      <c r="G33" s="147">
        <f t="shared" si="11"/>
        <v>11162.807161279999</v>
      </c>
      <c r="H33" s="4">
        <f t="shared" si="4"/>
        <v>141.97740959984424</v>
      </c>
      <c r="I33" s="147">
        <f t="shared" si="0"/>
        <v>179.17024831984423</v>
      </c>
      <c r="J33" s="148">
        <f t="shared" si="5"/>
        <v>1.5997343599986093E-2</v>
      </c>
      <c r="K33" s="147">
        <f t="shared" si="13"/>
        <v>11020.829751680156</v>
      </c>
      <c r="L33" s="4">
        <f t="shared" si="6"/>
        <v>216.28229803674404</v>
      </c>
      <c r="M33" s="147">
        <f t="shared" si="14"/>
        <v>10804.547453643412</v>
      </c>
      <c r="N33" s="4">
        <f t="shared" si="7"/>
        <v>41.379038563035344</v>
      </c>
      <c r="O33" s="147">
        <f t="shared" si="1"/>
        <v>436.83158491962365</v>
      </c>
      <c r="P33" s="217">
        <f t="shared" si="2"/>
        <v>3.9002820082109257E-2</v>
      </c>
      <c r="Q33" s="216">
        <f t="shared" si="25"/>
        <v>4.1312820082109257E-2</v>
      </c>
      <c r="R33" s="149">
        <f t="shared" si="15"/>
        <v>4.1374217676021348E-2</v>
      </c>
      <c r="S33" s="149">
        <f t="shared" si="16"/>
        <v>1.8589433968566368E-2</v>
      </c>
      <c r="T33" s="217">
        <f t="shared" si="21"/>
        <v>1.5997343599986093E-2</v>
      </c>
      <c r="U33" s="217">
        <f t="shared" si="23"/>
        <v>1.8583343599986091E-2</v>
      </c>
      <c r="V33" s="146">
        <v>9</v>
      </c>
      <c r="W33" s="146">
        <v>9</v>
      </c>
      <c r="X33" s="206"/>
      <c r="Y33" s="206"/>
      <c r="AA33" s="147">
        <f t="shared" si="24"/>
        <v>208.13344831984421</v>
      </c>
      <c r="AB33" s="147">
        <f t="shared" si="22"/>
        <v>462.70358491962367</v>
      </c>
    </row>
    <row r="34" spans="1:28" s="151" customFormat="1">
      <c r="A34" s="219">
        <f t="shared" si="9"/>
        <v>18362.065177590626</v>
      </c>
      <c r="B34" s="219">
        <f t="shared" si="10"/>
        <v>73448.260710362505</v>
      </c>
      <c r="C34" s="146">
        <f t="shared" si="20"/>
        <v>24</v>
      </c>
      <c r="D34" s="214">
        <f t="shared" si="12"/>
        <v>2900</v>
      </c>
      <c r="E34" s="214">
        <v>11600</v>
      </c>
      <c r="F34" s="4">
        <f t="shared" si="3"/>
        <v>38.487541280000002</v>
      </c>
      <c r="G34" s="147">
        <f t="shared" si="11"/>
        <v>11561.512458720001</v>
      </c>
      <c r="H34" s="4">
        <f t="shared" si="4"/>
        <v>152.30063235187387</v>
      </c>
      <c r="I34" s="147">
        <f t="shared" si="0"/>
        <v>190.78817363187386</v>
      </c>
      <c r="J34" s="148">
        <f t="shared" si="5"/>
        <v>1.6447256347575333E-2</v>
      </c>
      <c r="K34" s="147">
        <f t="shared" si="13"/>
        <v>11409.211826368128</v>
      </c>
      <c r="L34" s="4">
        <f t="shared" si="6"/>
        <v>219.44904951231058</v>
      </c>
      <c r="M34" s="147">
        <f t="shared" si="14"/>
        <v>11189.762776855818</v>
      </c>
      <c r="N34" s="4">
        <f t="shared" si="7"/>
        <v>44.382216978678102</v>
      </c>
      <c r="O34" s="147">
        <f t="shared" si="1"/>
        <v>454.61944012286256</v>
      </c>
      <c r="P34" s="217">
        <f t="shared" si="2"/>
        <v>3.9191331045074357E-2</v>
      </c>
      <c r="Q34" s="216">
        <f t="shared" si="25"/>
        <v>4.1757997711741025E-2</v>
      </c>
      <c r="R34" s="149">
        <f t="shared" si="15"/>
        <v>4.1828183149408456E-2</v>
      </c>
      <c r="S34" s="149">
        <f t="shared" si="16"/>
        <v>1.9331408953501092E-2</v>
      </c>
      <c r="T34" s="217">
        <f t="shared" si="21"/>
        <v>1.6447256347575333E-2</v>
      </c>
      <c r="U34" s="217">
        <f t="shared" si="23"/>
        <v>1.9320589680908665E-2</v>
      </c>
      <c r="V34" s="146">
        <v>10</v>
      </c>
      <c r="W34" s="146">
        <v>10</v>
      </c>
      <c r="X34" s="206"/>
      <c r="Y34" s="206"/>
      <c r="AA34" s="147">
        <f t="shared" si="24"/>
        <v>224.1188402985405</v>
      </c>
      <c r="AB34" s="147">
        <f t="shared" si="22"/>
        <v>484.39277345619587</v>
      </c>
    </row>
    <row r="35" spans="1:28" s="151" customFormat="1">
      <c r="A35" s="219">
        <f t="shared" si="9"/>
        <v>18995.239838886853</v>
      </c>
      <c r="B35" s="219">
        <f t="shared" si="10"/>
        <v>75980.959355547413</v>
      </c>
      <c r="C35" s="146">
        <f t="shared" si="20"/>
        <v>25</v>
      </c>
      <c r="D35" s="214">
        <f t="shared" si="12"/>
        <v>3000</v>
      </c>
      <c r="E35" s="214">
        <v>12000</v>
      </c>
      <c r="F35" s="4">
        <f t="shared" si="3"/>
        <v>39.827672000000007</v>
      </c>
      <c r="G35" s="147">
        <f t="shared" si="11"/>
        <v>11960.172328000001</v>
      </c>
      <c r="H35" s="4">
        <f t="shared" si="4"/>
        <v>162.98486532113048</v>
      </c>
      <c r="I35" s="147">
        <f t="shared" si="0"/>
        <v>202.81253732113049</v>
      </c>
      <c r="J35" s="148">
        <f t="shared" si="5"/>
        <v>1.6901044776760875E-2</v>
      </c>
      <c r="K35" s="147">
        <f t="shared" si="13"/>
        <v>11797.18746267887</v>
      </c>
      <c r="L35" s="4">
        <f t="shared" si="6"/>
        <v>222.72198119449956</v>
      </c>
      <c r="M35" s="147">
        <f t="shared" si="14"/>
        <v>11574.465481484371</v>
      </c>
      <c r="N35" s="4">
        <f t="shared" si="7"/>
        <v>47.486386313997677</v>
      </c>
      <c r="O35" s="147">
        <f t="shared" si="1"/>
        <v>473.02090482962774</v>
      </c>
      <c r="P35" s="217">
        <f t="shared" si="2"/>
        <v>3.941840873580231E-2</v>
      </c>
      <c r="Q35" s="216">
        <f t="shared" si="25"/>
        <v>4.224174206913564E-2</v>
      </c>
      <c r="R35" s="149">
        <f t="shared" si="15"/>
        <v>4.2319649423288176E-2</v>
      </c>
      <c r="S35" s="149">
        <f t="shared" si="16"/>
        <v>2.0080194621933355E-2</v>
      </c>
      <c r="T35" s="217">
        <f t="shared" si="21"/>
        <v>1.6901044776760875E-2</v>
      </c>
      <c r="U35" s="217">
        <f t="shared" si="23"/>
        <v>2.0061711443427541E-2</v>
      </c>
      <c r="V35" s="146">
        <v>11</v>
      </c>
      <c r="W35" s="146">
        <v>11</v>
      </c>
      <c r="X35" s="206"/>
      <c r="Y35" s="206"/>
      <c r="AA35" s="147">
        <f t="shared" si="24"/>
        <v>240.74053732113049</v>
      </c>
      <c r="AB35" s="147">
        <f t="shared" si="22"/>
        <v>506.90090482962768</v>
      </c>
    </row>
    <row r="36" spans="1:28" s="151" customFormat="1">
      <c r="A36" s="219">
        <f t="shared" si="9"/>
        <v>19628.414500183084</v>
      </c>
      <c r="B36" s="219">
        <f t="shared" si="10"/>
        <v>78513.658000732335</v>
      </c>
      <c r="C36" s="146">
        <f t="shared" si="20"/>
        <v>26</v>
      </c>
      <c r="D36" s="214">
        <f t="shared" si="12"/>
        <v>3100</v>
      </c>
      <c r="E36" s="214">
        <v>12400</v>
      </c>
      <c r="F36" s="4">
        <f t="shared" si="3"/>
        <v>41.213230880000005</v>
      </c>
      <c r="G36" s="147">
        <f t="shared" si="11"/>
        <v>12358.786769120001</v>
      </c>
      <c r="H36" s="4">
        <f t="shared" si="4"/>
        <v>174.02998469886938</v>
      </c>
      <c r="I36" s="147">
        <f t="shared" si="0"/>
        <v>215.24321557886938</v>
      </c>
      <c r="J36" s="148">
        <f t="shared" si="5"/>
        <v>1.7358323837005595E-2</v>
      </c>
      <c r="K36" s="147">
        <f t="shared" si="13"/>
        <v>12184.756784421132</v>
      </c>
      <c r="L36" s="4">
        <f t="shared" si="6"/>
        <v>226.1007502460773</v>
      </c>
      <c r="M36" s="147">
        <f t="shared" si="14"/>
        <v>11958.656034175054</v>
      </c>
      <c r="N36" s="4">
        <f t="shared" si="7"/>
        <v>50.69113111577996</v>
      </c>
      <c r="O36" s="147">
        <f t="shared" si="1"/>
        <v>492.03509694072665</v>
      </c>
      <c r="P36" s="217">
        <f t="shared" si="2"/>
        <v>3.9680249753284408E-2</v>
      </c>
      <c r="Q36" s="216">
        <f t="shared" si="25"/>
        <v>4.2760249753284407E-2</v>
      </c>
      <c r="R36" s="149">
        <f t="shared" si="15"/>
        <v>4.2844987387935414E-2</v>
      </c>
      <c r="S36" s="149">
        <f t="shared" si="16"/>
        <v>2.0835131875460169E-2</v>
      </c>
      <c r="T36" s="217">
        <f t="shared" si="21"/>
        <v>1.7358323837005595E-2</v>
      </c>
      <c r="U36" s="217">
        <f t="shared" si="23"/>
        <v>2.0806323837005595E-2</v>
      </c>
      <c r="V36" s="146">
        <v>12</v>
      </c>
      <c r="W36" s="146">
        <v>12</v>
      </c>
      <c r="X36" s="206"/>
      <c r="Y36" s="206"/>
      <c r="AA36" s="147">
        <f t="shared" si="24"/>
        <v>257.99841557886936</v>
      </c>
      <c r="AB36" s="147">
        <f t="shared" si="22"/>
        <v>530.2270969407266</v>
      </c>
    </row>
    <row r="37" spans="1:28" s="151" customFormat="1">
      <c r="A37" s="219">
        <f t="shared" si="9"/>
        <v>20261.589161479311</v>
      </c>
      <c r="B37" s="219">
        <f t="shared" si="10"/>
        <v>81046.356645917243</v>
      </c>
      <c r="C37" s="146">
        <f t="shared" si="20"/>
        <v>27</v>
      </c>
      <c r="D37" s="214">
        <f t="shared" si="12"/>
        <v>3200</v>
      </c>
      <c r="E37" s="214">
        <v>12800</v>
      </c>
      <c r="F37" s="4">
        <f t="shared" si="3"/>
        <v>42.644217920000003</v>
      </c>
      <c r="G37" s="147">
        <f t="shared" si="11"/>
        <v>12757.35578208</v>
      </c>
      <c r="H37" s="4">
        <f t="shared" si="4"/>
        <v>185.43586669045396</v>
      </c>
      <c r="I37" s="147">
        <f t="shared" si="0"/>
        <v>228.08008461045398</v>
      </c>
      <c r="J37" s="148">
        <f t="shared" si="5"/>
        <v>1.7818756610191718E-2</v>
      </c>
      <c r="K37" s="147">
        <f t="shared" si="13"/>
        <v>12571.919915389546</v>
      </c>
      <c r="L37" s="4">
        <f t="shared" si="6"/>
        <v>229.58501432938107</v>
      </c>
      <c r="M37" s="147">
        <f t="shared" si="14"/>
        <v>12342.334901060165</v>
      </c>
      <c r="N37" s="4">
        <f t="shared" si="7"/>
        <v>53.996036992887021</v>
      </c>
      <c r="O37" s="147">
        <f t="shared" si="1"/>
        <v>511.66113593272206</v>
      </c>
      <c r="P37" s="217">
        <f t="shared" si="2"/>
        <v>3.9973526244743908E-2</v>
      </c>
      <c r="Q37" s="216">
        <f t="shared" si="25"/>
        <v>4.3310192911410576E-2</v>
      </c>
      <c r="R37" s="149">
        <f t="shared" si="15"/>
        <v>4.3401021572340721E-2</v>
      </c>
      <c r="S37" s="149">
        <f t="shared" si="16"/>
        <v>2.1595644002978909E-2</v>
      </c>
      <c r="T37" s="217">
        <f t="shared" si="21"/>
        <v>1.7818756610191718E-2</v>
      </c>
      <c r="U37" s="217">
        <f t="shared" si="23"/>
        <v>2.1554089943525052E-2</v>
      </c>
      <c r="V37" s="146">
        <v>13</v>
      </c>
      <c r="W37" s="146">
        <v>13</v>
      </c>
      <c r="X37" s="206"/>
      <c r="Y37" s="206"/>
      <c r="AA37" s="147">
        <f t="shared" si="24"/>
        <v>275.89235127712067</v>
      </c>
      <c r="AB37" s="147">
        <f t="shared" si="22"/>
        <v>554.37046926605535</v>
      </c>
    </row>
    <row r="38" spans="1:28" s="385" customFormat="1">
      <c r="A38" s="377">
        <f t="shared" si="9"/>
        <v>20894.763822775541</v>
      </c>
      <c r="B38" s="377">
        <f t="shared" si="10"/>
        <v>83579.055291102166</v>
      </c>
      <c r="C38" s="378">
        <f t="shared" si="20"/>
        <v>28</v>
      </c>
      <c r="D38" s="378">
        <f t="shared" si="12"/>
        <v>3300</v>
      </c>
      <c r="E38" s="378">
        <v>13200</v>
      </c>
      <c r="F38" s="379">
        <f t="shared" si="3"/>
        <v>44.120633120000008</v>
      </c>
      <c r="G38" s="380">
        <f t="shared" si="11"/>
        <v>13155.879366880001</v>
      </c>
      <c r="H38" s="379">
        <f t="shared" si="4"/>
        <v>197.20238751535609</v>
      </c>
      <c r="I38" s="380">
        <f t="shared" si="0"/>
        <v>241.3230206353561</v>
      </c>
      <c r="J38" s="381">
        <f t="shared" si="5"/>
        <v>1.8282047017830007E-2</v>
      </c>
      <c r="K38" s="380">
        <f t="shared" ref="K38:K52" si="26">+G38-H38</f>
        <v>12958.676979364645</v>
      </c>
      <c r="L38" s="379">
        <f t="shared" si="6"/>
        <v>233.17443160593371</v>
      </c>
      <c r="M38" s="380">
        <f t="shared" ref="M38:M52" si="27">+K38-L38</f>
        <v>12725.502547758711</v>
      </c>
      <c r="N38" s="379">
        <f t="shared" si="7"/>
        <v>57.40069061386955</v>
      </c>
      <c r="O38" s="380">
        <f t="shared" si="1"/>
        <v>531.89814285515934</v>
      </c>
      <c r="P38" s="382">
        <f t="shared" si="2"/>
        <v>4.0295313852663585E-2</v>
      </c>
      <c r="Q38" s="389">
        <f t="shared" si="25"/>
        <v>4.3888647185996915E-2</v>
      </c>
      <c r="R38" s="383">
        <f t="shared" si="15"/>
        <v>4.3984961411071541E-2</v>
      </c>
      <c r="S38" s="383">
        <f t="shared" si="16"/>
        <v>2.2361224197763058E-2</v>
      </c>
      <c r="T38" s="382">
        <f t="shared" si="21"/>
        <v>1.8282047017830007E-2</v>
      </c>
      <c r="U38" s="382">
        <f t="shared" si="23"/>
        <v>2.2304713684496675E-2</v>
      </c>
      <c r="V38" s="378">
        <v>14</v>
      </c>
      <c r="W38" s="378">
        <v>14</v>
      </c>
      <c r="X38" s="384"/>
      <c r="Y38" s="384"/>
      <c r="AA38" s="380">
        <f t="shared" si="24"/>
        <v>294.4222206353561</v>
      </c>
      <c r="AB38" s="380">
        <f t="shared" si="22"/>
        <v>579.33014285515924</v>
      </c>
    </row>
    <row r="39" spans="1:28" s="385" customFormat="1">
      <c r="A39" s="377">
        <f t="shared" si="9"/>
        <v>21527.938484071768</v>
      </c>
      <c r="B39" s="377">
        <f t="shared" si="10"/>
        <v>86111.753936287074</v>
      </c>
      <c r="C39" s="378">
        <f t="shared" si="20"/>
        <v>29</v>
      </c>
      <c r="D39" s="378">
        <f t="shared" si="12"/>
        <v>3400</v>
      </c>
      <c r="E39" s="378">
        <v>13600</v>
      </c>
      <c r="F39" s="379">
        <f t="shared" si="3"/>
        <v>45.642476480000006</v>
      </c>
      <c r="G39" s="380">
        <f t="shared" si="11"/>
        <v>13554.357523520001</v>
      </c>
      <c r="H39" s="379">
        <f t="shared" si="4"/>
        <v>209.3294234071557</v>
      </c>
      <c r="I39" s="380">
        <f t="shared" si="0"/>
        <v>254.9718998871557</v>
      </c>
      <c r="J39" s="381">
        <f t="shared" si="5"/>
        <v>1.8747933815232036E-2</v>
      </c>
      <c r="K39" s="380">
        <f t="shared" si="26"/>
        <v>13345.028100112844</v>
      </c>
      <c r="L39" s="379">
        <f t="shared" si="6"/>
        <v>236.86866073605819</v>
      </c>
      <c r="M39" s="380">
        <f t="shared" si="27"/>
        <v>13108.159439376786</v>
      </c>
      <c r="N39" s="379">
        <f t="shared" si="7"/>
        <v>60.904679704583984</v>
      </c>
      <c r="O39" s="380">
        <f t="shared" si="1"/>
        <v>552.74524032779789</v>
      </c>
      <c r="P39" s="382">
        <f t="shared" si="2"/>
        <v>4.0643032377043961E-2</v>
      </c>
      <c r="Q39" s="389">
        <f t="shared" si="25"/>
        <v>4.449303237704396E-2</v>
      </c>
      <c r="R39" s="383">
        <f t="shared" si="15"/>
        <v>4.4594344640510909E-2</v>
      </c>
      <c r="S39" s="383">
        <f t="shared" si="16"/>
        <v>2.3131425277406824E-2</v>
      </c>
      <c r="T39" s="382">
        <f t="shared" si="21"/>
        <v>1.8747933815232036E-2</v>
      </c>
      <c r="U39" s="382">
        <f t="shared" si="23"/>
        <v>2.3057933815232037E-2</v>
      </c>
      <c r="V39" s="378">
        <v>15</v>
      </c>
      <c r="W39" s="378">
        <v>15</v>
      </c>
      <c r="X39" s="384"/>
      <c r="Y39" s="384"/>
      <c r="AA39" s="380">
        <f t="shared" si="24"/>
        <v>313.58789988715569</v>
      </c>
      <c r="AB39" s="380">
        <f t="shared" si="22"/>
        <v>605.1052403277979</v>
      </c>
    </row>
    <row r="40" spans="1:28" s="151" customFormat="1">
      <c r="A40" s="220">
        <f t="shared" si="9"/>
        <v>22161.113145367995</v>
      </c>
      <c r="B40" s="220">
        <f t="shared" si="10"/>
        <v>88644.452581471982</v>
      </c>
      <c r="C40" s="73">
        <f>1+C39</f>
        <v>30</v>
      </c>
      <c r="D40" s="213">
        <f t="shared" si="12"/>
        <v>3500</v>
      </c>
      <c r="E40" s="213">
        <v>14000</v>
      </c>
      <c r="F40" s="4">
        <f t="shared" si="3"/>
        <v>47.209748000000005</v>
      </c>
      <c r="G40" s="15">
        <f t="shared" si="11"/>
        <v>13952.790252000001</v>
      </c>
      <c r="H40" s="4">
        <f t="shared" si="4"/>
        <v>221.81685061354119</v>
      </c>
      <c r="I40" s="147">
        <f t="shared" si="0"/>
        <v>269.02659861354118</v>
      </c>
      <c r="J40" s="148">
        <f t="shared" si="5"/>
        <v>1.9216185615252943E-2</v>
      </c>
      <c r="K40" s="147">
        <f t="shared" si="26"/>
        <v>13730.97340138646</v>
      </c>
      <c r="L40" s="4">
        <f t="shared" si="6"/>
        <v>240.66736087849256</v>
      </c>
      <c r="M40" s="147">
        <f t="shared" si="27"/>
        <v>13490.306040507967</v>
      </c>
      <c r="N40" s="4">
        <f t="shared" si="7"/>
        <v>64.507593045814886</v>
      </c>
      <c r="O40" s="147">
        <f t="shared" si="1"/>
        <v>574.20155253784867</v>
      </c>
      <c r="P40" s="217">
        <f t="shared" si="2"/>
        <v>4.1014396609846335E-2</v>
      </c>
      <c r="Q40" s="216">
        <f t="shared" si="25"/>
        <v>4.5121063276513003E-2</v>
      </c>
      <c r="R40" s="149">
        <f t="shared" si="15"/>
        <v>4.5226990398598108E-2</v>
      </c>
      <c r="S40" s="149">
        <f t="shared" si="16"/>
        <v>2.3905851166065108E-2</v>
      </c>
      <c r="T40" s="217">
        <f t="shared" si="21"/>
        <v>1.9216185615252943E-2</v>
      </c>
      <c r="U40" s="217">
        <f t="shared" si="23"/>
        <v>2.3813518948586274E-2</v>
      </c>
      <c r="V40" s="146">
        <v>16</v>
      </c>
      <c r="W40" s="146">
        <v>16</v>
      </c>
      <c r="X40" s="206"/>
      <c r="Y40" s="206"/>
      <c r="AA40" s="147">
        <f t="shared" si="24"/>
        <v>333.38926528020784</v>
      </c>
      <c r="AB40" s="147">
        <f t="shared" si="22"/>
        <v>631.69488587118201</v>
      </c>
    </row>
    <row r="41" spans="1:28" s="5" customFormat="1">
      <c r="A41" s="220">
        <f t="shared" si="9"/>
        <v>22794.287806664226</v>
      </c>
      <c r="B41" s="220">
        <f t="shared" si="10"/>
        <v>91177.151226656904</v>
      </c>
      <c r="C41" s="73">
        <f t="shared" si="20"/>
        <v>31</v>
      </c>
      <c r="D41" s="213">
        <f t="shared" si="12"/>
        <v>3600</v>
      </c>
      <c r="E41" s="213">
        <v>14400</v>
      </c>
      <c r="F41" s="4">
        <f t="shared" si="3"/>
        <v>48.82244768000001</v>
      </c>
      <c r="G41" s="15">
        <f t="shared" si="11"/>
        <v>14351.177552319999</v>
      </c>
      <c r="H41" s="4">
        <f t="shared" si="4"/>
        <v>234.66454539630902</v>
      </c>
      <c r="I41" s="15">
        <f t="shared" si="0"/>
        <v>283.48699307630903</v>
      </c>
      <c r="J41" s="17">
        <f t="shared" si="5"/>
        <v>1.968659674141035E-2</v>
      </c>
      <c r="K41" s="15">
        <f t="shared" si="26"/>
        <v>14116.513006923691</v>
      </c>
      <c r="L41" s="4">
        <f t="shared" si="6"/>
        <v>244.57019169000478</v>
      </c>
      <c r="M41" s="15">
        <f t="shared" si="27"/>
        <v>13871.942815233686</v>
      </c>
      <c r="N41" s="4">
        <f t="shared" si="7"/>
        <v>68.209020470901976</v>
      </c>
      <c r="O41" s="15">
        <f t="shared" si="1"/>
        <v>596.2662052372159</v>
      </c>
      <c r="P41" s="216">
        <f t="shared" si="2"/>
        <v>4.1407375363695549E-2</v>
      </c>
      <c r="Q41" s="216">
        <f t="shared" si="25"/>
        <v>4.5770708697028886E-2</v>
      </c>
      <c r="R41" s="136">
        <f t="shared" si="15"/>
        <v>4.5880960141279147E-2</v>
      </c>
      <c r="S41" s="136">
        <f t="shared" si="16"/>
        <v>2.4684149796320026E-2</v>
      </c>
      <c r="T41" s="216">
        <f t="shared" si="21"/>
        <v>1.968659674141035E-2</v>
      </c>
      <c r="U41" s="216">
        <f t="shared" si="23"/>
        <v>2.4571263408077016E-2</v>
      </c>
      <c r="V41" s="73">
        <v>17</v>
      </c>
      <c r="W41" s="73">
        <v>17</v>
      </c>
      <c r="X41" s="206"/>
      <c r="Y41" s="206">
        <v>85579</v>
      </c>
      <c r="AA41" s="15">
        <f t="shared" si="24"/>
        <v>353.82619307630904</v>
      </c>
      <c r="AB41" s="15">
        <f t="shared" si="22"/>
        <v>659.09820523721601</v>
      </c>
    </row>
    <row r="42" spans="1:28">
      <c r="A42" s="220">
        <f t="shared" si="9"/>
        <v>23427.462467960453</v>
      </c>
      <c r="B42" s="220">
        <f t="shared" si="10"/>
        <v>93709.849871841812</v>
      </c>
      <c r="C42" s="73">
        <f t="shared" si="20"/>
        <v>32</v>
      </c>
      <c r="D42" s="213">
        <f t="shared" si="12"/>
        <v>3700</v>
      </c>
      <c r="E42" s="213">
        <v>14800</v>
      </c>
      <c r="F42" s="4">
        <f t="shared" si="3"/>
        <v>50.480575520000002</v>
      </c>
      <c r="G42" s="15">
        <f t="shared" si="11"/>
        <v>14749.51942448</v>
      </c>
      <c r="H42" s="4">
        <f t="shared" si="4"/>
        <v>247.87238403136425</v>
      </c>
      <c r="I42" s="15">
        <f t="shared" si="0"/>
        <v>298.35295955136428</v>
      </c>
      <c r="J42" s="17">
        <f t="shared" si="5"/>
        <v>2.0158983753470559E-2</v>
      </c>
      <c r="K42" s="15">
        <f t="shared" si="26"/>
        <v>14501.647040448635</v>
      </c>
      <c r="L42" s="4">
        <f t="shared" si="6"/>
        <v>248.57681332500815</v>
      </c>
      <c r="M42" s="15">
        <f t="shared" si="27"/>
        <v>14253.070227123628</v>
      </c>
      <c r="N42" s="4">
        <f t="shared" si="7"/>
        <v>72.008552863372259</v>
      </c>
      <c r="O42" s="15">
        <f t="shared" si="1"/>
        <v>618.93832573974476</v>
      </c>
      <c r="P42" s="216">
        <f t="shared" si="2"/>
        <v>4.1820157144577347E-2</v>
      </c>
      <c r="Q42" s="216">
        <f t="shared" si="25"/>
        <v>4.6440157144577346E-2</v>
      </c>
      <c r="R42" s="136">
        <f t="shared" si="15"/>
        <v>4.6554524896830193E-2</v>
      </c>
      <c r="S42" s="136">
        <f t="shared" si="16"/>
        <v>2.5466007162096183E-2</v>
      </c>
      <c r="T42" s="216">
        <f t="shared" si="21"/>
        <v>2.0158983753470559E-2</v>
      </c>
      <c r="U42" s="216">
        <f t="shared" si="23"/>
        <v>2.5330983753470558E-2</v>
      </c>
      <c r="V42" s="73">
        <v>18</v>
      </c>
      <c r="W42" s="73">
        <v>18</v>
      </c>
      <c r="X42" s="206"/>
      <c r="Y42" s="206"/>
      <c r="AA42" s="4">
        <f t="shared" si="24"/>
        <v>374.89855955136426</v>
      </c>
      <c r="AB42" s="4">
        <f t="shared" si="22"/>
        <v>687.31432573974473</v>
      </c>
    </row>
    <row r="43" spans="1:28">
      <c r="A43" s="220">
        <f t="shared" si="9"/>
        <v>24060.637129256684</v>
      </c>
      <c r="B43" s="220">
        <f t="shared" si="10"/>
        <v>96242.548517026735</v>
      </c>
      <c r="C43" s="73">
        <f t="shared" si="20"/>
        <v>33</v>
      </c>
      <c r="D43" s="213">
        <f t="shared" si="12"/>
        <v>3800</v>
      </c>
      <c r="E43" s="213">
        <v>15200</v>
      </c>
      <c r="F43" s="4">
        <f t="shared" si="3"/>
        <v>52.184131520000008</v>
      </c>
      <c r="G43" s="15">
        <f t="shared" si="11"/>
        <v>15147.81586848</v>
      </c>
      <c r="H43" s="4">
        <f t="shared" si="4"/>
        <v>261.44024280871986</v>
      </c>
      <c r="I43" s="15">
        <f t="shared" si="0"/>
        <v>313.62437432871985</v>
      </c>
      <c r="J43" s="17">
        <f t="shared" si="5"/>
        <v>2.0633182521626305E-2</v>
      </c>
      <c r="K43" s="15">
        <f t="shared" si="26"/>
        <v>14886.37562567128</v>
      </c>
      <c r="L43" s="4">
        <f t="shared" si="6"/>
        <v>252.6868864351764</v>
      </c>
      <c r="M43" s="15">
        <f t="shared" si="27"/>
        <v>14633.688739236104</v>
      </c>
      <c r="N43" s="4">
        <f t="shared" si="7"/>
        <v>75.905782154577082</v>
      </c>
      <c r="O43" s="15">
        <f t="shared" si="1"/>
        <v>642.21704291847334</v>
      </c>
      <c r="P43" s="216">
        <f t="shared" si="2"/>
        <v>4.2251121244636404E-2</v>
      </c>
      <c r="Q43" s="216">
        <f t="shared" si="25"/>
        <v>4.7127787911303072E-2</v>
      </c>
      <c r="R43" s="136">
        <f t="shared" si="15"/>
        <v>4.7246137690550985E-2</v>
      </c>
      <c r="S43" s="136">
        <f t="shared" si="16"/>
        <v>2.6251142310589268E-2</v>
      </c>
      <c r="T43" s="216">
        <f t="shared" si="21"/>
        <v>2.0633182521626305E-2</v>
      </c>
      <c r="U43" s="216">
        <f t="shared" si="23"/>
        <v>2.6092515854959638E-2</v>
      </c>
      <c r="V43" s="73">
        <v>19</v>
      </c>
      <c r="W43" s="73">
        <v>19</v>
      </c>
      <c r="X43" s="206"/>
      <c r="Y43" s="206"/>
      <c r="AA43" s="4">
        <f t="shared" si="24"/>
        <v>396.60624099538649</v>
      </c>
      <c r="AB43" s="4">
        <f t="shared" si="22"/>
        <v>716.34237625180674</v>
      </c>
    </row>
    <row r="44" spans="1:28" s="143" customFormat="1">
      <c r="A44" s="220">
        <f>B44/4</f>
        <v>24693.811790552911</v>
      </c>
      <c r="B44" s="220">
        <f t="shared" si="10"/>
        <v>98775.247162211643</v>
      </c>
      <c r="C44" s="73">
        <f t="shared" si="20"/>
        <v>34</v>
      </c>
      <c r="D44" s="213">
        <f t="shared" si="12"/>
        <v>3900</v>
      </c>
      <c r="E44" s="213">
        <v>15600</v>
      </c>
      <c r="F44" s="4">
        <f t="shared" si="3"/>
        <v>53.93311568</v>
      </c>
      <c r="G44" s="15">
        <f t="shared" si="11"/>
        <v>15546.06688432</v>
      </c>
      <c r="H44" s="4">
        <f t="shared" si="4"/>
        <v>275.36799803249727</v>
      </c>
      <c r="I44" s="15">
        <f t="shared" si="0"/>
        <v>329.30111371249728</v>
      </c>
      <c r="J44" s="17">
        <f t="shared" si="5"/>
        <v>2.1109045750801109E-2</v>
      </c>
      <c r="K44" s="15">
        <f t="shared" si="26"/>
        <v>15270.698886287502</v>
      </c>
      <c r="L44" s="4">
        <f t="shared" si="6"/>
        <v>256.90007216905934</v>
      </c>
      <c r="M44" s="15">
        <f t="shared" si="27"/>
        <v>15013.798814118443</v>
      </c>
      <c r="N44" s="4">
        <f t="shared" si="7"/>
        <v>79.900301321334013</v>
      </c>
      <c r="O44" s="15">
        <f t="shared" si="1"/>
        <v>666.10148720289067</v>
      </c>
      <c r="P44" s="216">
        <f t="shared" si="2"/>
        <v>4.2698813282236583E-2</v>
      </c>
      <c r="Q44" s="216">
        <f t="shared" si="25"/>
        <v>4.783214661556992E-2</v>
      </c>
      <c r="R44" s="136">
        <f t="shared" si="15"/>
        <v>4.7954410211813084E-2</v>
      </c>
      <c r="S44" s="136">
        <f t="shared" si="16"/>
        <v>2.7039303104667206E-2</v>
      </c>
      <c r="T44" s="216">
        <f t="shared" si="21"/>
        <v>2.1109045750801109E-2</v>
      </c>
      <c r="U44" s="216">
        <f t="shared" si="23"/>
        <v>2.6855712417467772E-2</v>
      </c>
      <c r="V44" s="73">
        <v>20</v>
      </c>
      <c r="W44" s="73">
        <v>20</v>
      </c>
      <c r="X44" s="206"/>
      <c r="Y44" s="206"/>
      <c r="AA44" s="350">
        <f t="shared" si="24"/>
        <v>418.94911371249725</v>
      </c>
      <c r="AB44" s="350">
        <f t="shared" si="22"/>
        <v>746.18148720289071</v>
      </c>
    </row>
    <row r="45" spans="1:28" s="143" customFormat="1">
      <c r="A45" s="220">
        <f>B45/4</f>
        <v>25326.986451849141</v>
      </c>
      <c r="B45" s="220">
        <f t="shared" si="10"/>
        <v>101307.94580739657</v>
      </c>
      <c r="C45" s="73">
        <f t="shared" si="20"/>
        <v>35</v>
      </c>
      <c r="D45" s="213">
        <f>E45/4</f>
        <v>4000</v>
      </c>
      <c r="E45" s="213">
        <v>16000</v>
      </c>
      <c r="F45" s="4">
        <f t="shared" si="3"/>
        <v>55.727528000000007</v>
      </c>
      <c r="G45" s="15">
        <f>+E45-F45</f>
        <v>15944.272472000001</v>
      </c>
      <c r="H45" s="4">
        <f t="shared" si="4"/>
        <v>289.65552602092635</v>
      </c>
      <c r="I45" s="15">
        <f>+H45+F45</f>
        <v>345.38305402092635</v>
      </c>
      <c r="J45" s="17">
        <f>+I45/E45</f>
        <v>2.1586440876307896E-2</v>
      </c>
      <c r="K45" s="15">
        <f>+G45-H45</f>
        <v>15654.616945979074</v>
      </c>
      <c r="L45" s="4">
        <f t="shared" si="6"/>
        <v>261.21603217169866</v>
      </c>
      <c r="M45" s="15">
        <f>+K45-L45</f>
        <v>15393.400913807376</v>
      </c>
      <c r="N45" s="4">
        <f t="shared" si="7"/>
        <v>83.991704383573719</v>
      </c>
      <c r="O45" s="15">
        <f>+F45+H45+L45+N45</f>
        <v>690.59079057619874</v>
      </c>
      <c r="P45" s="216">
        <f>O45/E45</f>
        <v>4.3161924411012423E-2</v>
      </c>
      <c r="Q45" s="216">
        <f t="shared" si="25"/>
        <v>4.8551924411012422E-2</v>
      </c>
      <c r="R45" s="136">
        <f t="shared" si="15"/>
        <v>4.8678092981050906E-2</v>
      </c>
      <c r="S45" s="136">
        <f t="shared" si="16"/>
        <v>2.783026262091114E-2</v>
      </c>
      <c r="T45" s="216">
        <f>J45</f>
        <v>2.1586440876307896E-2</v>
      </c>
      <c r="U45" s="216">
        <f t="shared" si="23"/>
        <v>2.7620440876307897E-2</v>
      </c>
      <c r="V45" s="73">
        <v>21</v>
      </c>
      <c r="W45" s="73">
        <v>21</v>
      </c>
      <c r="X45" s="206"/>
      <c r="Y45" s="206"/>
      <c r="AA45" s="350">
        <f>U45*E45</f>
        <v>441.92705402092633</v>
      </c>
      <c r="AB45" s="350">
        <f>Q45*E45</f>
        <v>776.83079057619875</v>
      </c>
    </row>
    <row r="46" spans="1:28">
      <c r="A46" s="220">
        <f>B46/4</f>
        <v>25960.161113145368</v>
      </c>
      <c r="B46" s="220">
        <f t="shared" si="10"/>
        <v>103840.64445258147</v>
      </c>
      <c r="C46" s="73">
        <f t="shared" si="20"/>
        <v>36</v>
      </c>
      <c r="D46" s="213">
        <f t="shared" si="12"/>
        <v>4100</v>
      </c>
      <c r="E46" s="213">
        <v>16400</v>
      </c>
      <c r="F46" s="4">
        <f t="shared" si="3"/>
        <v>57.567368479999999</v>
      </c>
      <c r="G46" s="15">
        <f t="shared" si="11"/>
        <v>16342.43263152</v>
      </c>
      <c r="H46" s="4">
        <f t="shared" si="4"/>
        <v>304.30270310634484</v>
      </c>
      <c r="I46" s="15">
        <f t="shared" si="0"/>
        <v>361.87007158634481</v>
      </c>
      <c r="J46" s="17">
        <f t="shared" si="5"/>
        <v>2.206524826746005E-2</v>
      </c>
      <c r="K46" s="15">
        <f t="shared" si="26"/>
        <v>16038.129928413655</v>
      </c>
      <c r="L46" s="4">
        <f t="shared" si="6"/>
        <v>265.63442858424355</v>
      </c>
      <c r="M46" s="15">
        <f t="shared" si="27"/>
        <v>15772.495499829411</v>
      </c>
      <c r="N46" s="4">
        <f t="shared" si="7"/>
        <v>88.1795864019916</v>
      </c>
      <c r="O46" s="15">
        <f t="shared" si="1"/>
        <v>715.68408657257999</v>
      </c>
      <c r="P46" s="216">
        <f t="shared" si="2"/>
        <v>4.3639273571498778E-2</v>
      </c>
      <c r="Q46" s="216">
        <f t="shared" si="25"/>
        <v>4.9285940238165446E-2</v>
      </c>
      <c r="R46" s="136">
        <f t="shared" si="15"/>
        <v>4.9416058419144253E-2</v>
      </c>
      <c r="S46" s="136">
        <f t="shared" si="16"/>
        <v>2.8623816074772331E-2</v>
      </c>
      <c r="T46" s="216">
        <f t="shared" si="21"/>
        <v>2.206524826746005E-2</v>
      </c>
      <c r="U46" s="216">
        <f t="shared" si="23"/>
        <v>2.8386581600793381E-2</v>
      </c>
      <c r="V46" s="73">
        <v>22</v>
      </c>
      <c r="W46" s="73">
        <v>22</v>
      </c>
      <c r="X46" s="206"/>
      <c r="Y46" s="206"/>
      <c r="AA46" s="350">
        <f t="shared" ref="AA46:AA52" si="28">U46*E46</f>
        <v>465.53993825301143</v>
      </c>
      <c r="AB46" s="350">
        <f t="shared" ref="AB46:AB52" si="29">Q46*E46</f>
        <v>808.28941990591329</v>
      </c>
    </row>
    <row r="47" spans="1:28" s="391" customFormat="1" ht="16.5" customHeight="1">
      <c r="A47" s="386">
        <f t="shared" ref="A47:A52" si="30">B47/4</f>
        <v>26593.335774441595</v>
      </c>
      <c r="B47" s="386">
        <f t="shared" si="10"/>
        <v>106373.34309776638</v>
      </c>
      <c r="C47" s="372">
        <f t="shared" si="20"/>
        <v>37</v>
      </c>
      <c r="D47" s="372">
        <f t="shared" si="12"/>
        <v>4200</v>
      </c>
      <c r="E47" s="372">
        <f t="shared" ref="E47:E52" si="31">E46+400</f>
        <v>16800</v>
      </c>
      <c r="F47" s="379">
        <f t="shared" si="3"/>
        <v>59.452637120000006</v>
      </c>
      <c r="G47" s="387">
        <f t="shared" si="11"/>
        <v>16740.547362879999</v>
      </c>
      <c r="H47" s="379">
        <f t="shared" si="4"/>
        <v>319.30940563519908</v>
      </c>
      <c r="I47" s="387">
        <f t="shared" si="0"/>
        <v>378.7620427551991</v>
      </c>
      <c r="J47" s="388">
        <f t="shared" si="5"/>
        <v>2.254535968780947E-2</v>
      </c>
      <c r="K47" s="387">
        <f t="shared" si="26"/>
        <v>16421.237957244801</v>
      </c>
      <c r="L47" s="379">
        <f t="shared" si="6"/>
        <v>270.15492404356706</v>
      </c>
      <c r="M47" s="387">
        <f t="shared" si="27"/>
        <v>16151.083033201234</v>
      </c>
      <c r="N47" s="379">
        <f t="shared" si="7"/>
        <v>92.463543475704583</v>
      </c>
      <c r="O47" s="387">
        <f t="shared" si="1"/>
        <v>741.38051027447079</v>
      </c>
      <c r="P47" s="389">
        <f t="shared" si="2"/>
        <v>4.4129792278242312E-2</v>
      </c>
      <c r="Q47" s="389">
        <f t="shared" si="25"/>
        <v>5.0033125611575649E-2</v>
      </c>
      <c r="R47" s="390">
        <f t="shared" si="15"/>
        <v>5.0167286335460581E-2</v>
      </c>
      <c r="S47" s="390">
        <f t="shared" ref="S47:S52" si="32">$S$73*A47/$A$56+$S$74+$S$75*$A$56/A47</f>
        <v>2.9419778184992411E-2</v>
      </c>
      <c r="T47" s="389">
        <f t="shared" si="21"/>
        <v>2.254535968780947E-2</v>
      </c>
      <c r="U47" s="389">
        <f t="shared" si="23"/>
        <v>2.9154026354476135E-2</v>
      </c>
      <c r="V47" s="372">
        <v>23</v>
      </c>
      <c r="W47" s="372">
        <v>23</v>
      </c>
      <c r="X47" s="384"/>
      <c r="Y47" s="384"/>
      <c r="AA47" s="392">
        <f t="shared" si="28"/>
        <v>489.7876427551991</v>
      </c>
      <c r="AB47" s="392">
        <f t="shared" si="29"/>
        <v>840.55651027447095</v>
      </c>
    </row>
    <row r="48" spans="1:28" s="391" customFormat="1">
      <c r="A48" s="386">
        <f t="shared" si="30"/>
        <v>27226.510435737826</v>
      </c>
      <c r="B48" s="386">
        <f t="shared" si="10"/>
        <v>108906.0417429513</v>
      </c>
      <c r="C48" s="372">
        <f t="shared" si="20"/>
        <v>38</v>
      </c>
      <c r="D48" s="372">
        <f t="shared" si="12"/>
        <v>4300</v>
      </c>
      <c r="E48" s="372">
        <f t="shared" si="31"/>
        <v>17200</v>
      </c>
      <c r="F48" s="379">
        <f t="shared" si="3"/>
        <v>61.383333919999998</v>
      </c>
      <c r="G48" s="387">
        <f t="shared" si="11"/>
        <v>17138.616666080001</v>
      </c>
      <c r="H48" s="379">
        <f t="shared" si="4"/>
        <v>334.67550996804374</v>
      </c>
      <c r="I48" s="387">
        <f t="shared" si="0"/>
        <v>396.05884388804373</v>
      </c>
      <c r="J48" s="388">
        <f t="shared" si="5"/>
        <v>2.30266769702351E-2</v>
      </c>
      <c r="K48" s="387">
        <f t="shared" si="26"/>
        <v>16803.941156111956</v>
      </c>
      <c r="L48" s="379">
        <f t="shared" si="6"/>
        <v>274.77718168188204</v>
      </c>
      <c r="M48" s="387">
        <f t="shared" si="27"/>
        <v>16529.163974430074</v>
      </c>
      <c r="N48" s="379">
        <f t="shared" si="7"/>
        <v>96.84317273991239</v>
      </c>
      <c r="O48" s="387">
        <f t="shared" si="1"/>
        <v>767.67919830983817</v>
      </c>
      <c r="P48" s="389">
        <f t="shared" si="2"/>
        <v>4.4632511529641754E-2</v>
      </c>
      <c r="Q48" s="389">
        <f t="shared" si="25"/>
        <v>5.0792511529641753E-2</v>
      </c>
      <c r="R48" s="390">
        <f t="shared" si="15"/>
        <v>5.0930851440821587E-2</v>
      </c>
      <c r="S48" s="390">
        <f t="shared" si="32"/>
        <v>3.0217980905778898E-2</v>
      </c>
      <c r="T48" s="389">
        <f t="shared" si="21"/>
        <v>2.30266769702351E-2</v>
      </c>
      <c r="U48" s="389">
        <f t="shared" si="23"/>
        <v>2.9922676970235099E-2</v>
      </c>
      <c r="V48" s="372">
        <v>24</v>
      </c>
      <c r="W48" s="372">
        <v>24</v>
      </c>
      <c r="X48" s="384"/>
      <c r="Y48" s="384"/>
      <c r="AA48" s="392">
        <f t="shared" si="28"/>
        <v>514.67004388804366</v>
      </c>
      <c r="AB48" s="392">
        <f t="shared" si="29"/>
        <v>873.63119830983817</v>
      </c>
    </row>
    <row r="49" spans="1:30">
      <c r="A49" s="220">
        <f t="shared" si="30"/>
        <v>27859.685097034053</v>
      </c>
      <c r="B49" s="220">
        <f t="shared" si="10"/>
        <v>111438.74038813621</v>
      </c>
      <c r="C49" s="73">
        <f t="shared" si="20"/>
        <v>39</v>
      </c>
      <c r="D49" s="213">
        <f t="shared" si="12"/>
        <v>4400</v>
      </c>
      <c r="E49" s="213">
        <f t="shared" si="31"/>
        <v>17600</v>
      </c>
      <c r="F49" s="4">
        <f t="shared" si="3"/>
        <v>63.359458880000005</v>
      </c>
      <c r="G49" s="15">
        <f t="shared" si="11"/>
        <v>17536.640541119999</v>
      </c>
      <c r="H49" s="4">
        <f t="shared" si="4"/>
        <v>350.40089247954126</v>
      </c>
      <c r="I49" s="15">
        <f t="shared" si="0"/>
        <v>413.76035135954123</v>
      </c>
      <c r="J49" s="17">
        <f t="shared" si="5"/>
        <v>2.3509110872701206E-2</v>
      </c>
      <c r="K49" s="15">
        <f t="shared" si="26"/>
        <v>17186.239648640458</v>
      </c>
      <c r="L49" s="4">
        <f t="shared" si="6"/>
        <v>279.50086512635767</v>
      </c>
      <c r="M49" s="15">
        <f t="shared" si="27"/>
        <v>16906.738783514102</v>
      </c>
      <c r="N49" s="4">
        <f t="shared" si="7"/>
        <v>101.31807236356411</v>
      </c>
      <c r="O49" s="15">
        <f t="shared" si="1"/>
        <v>794.57928884946296</v>
      </c>
      <c r="P49" s="216">
        <f t="shared" si="2"/>
        <v>4.5146550502810398E-2</v>
      </c>
      <c r="Q49" s="216">
        <f t="shared" si="25"/>
        <v>5.1563217169477066E-2</v>
      </c>
      <c r="R49" s="136">
        <f t="shared" si="15"/>
        <v>5.17059125632469E-2</v>
      </c>
      <c r="S49" s="136">
        <f t="shared" si="32"/>
        <v>3.1018271468229525E-2</v>
      </c>
      <c r="T49" s="216">
        <f t="shared" si="21"/>
        <v>2.3509110872701206E-2</v>
      </c>
      <c r="U49" s="216">
        <f t="shared" si="23"/>
        <v>3.0692444206034539E-2</v>
      </c>
      <c r="V49" s="73">
        <v>25</v>
      </c>
      <c r="W49" s="73">
        <v>25</v>
      </c>
      <c r="X49" s="206"/>
      <c r="Y49" s="206"/>
      <c r="AA49" s="350">
        <f t="shared" si="28"/>
        <v>540.18701802620785</v>
      </c>
      <c r="AB49" s="350">
        <f t="shared" si="29"/>
        <v>907.51262218279635</v>
      </c>
    </row>
    <row r="50" spans="1:30">
      <c r="A50" s="220">
        <f t="shared" si="30"/>
        <v>28492.859758330284</v>
      </c>
      <c r="B50" s="220">
        <f t="shared" si="10"/>
        <v>113971.43903332113</v>
      </c>
      <c r="C50" s="73">
        <f t="shared" si="20"/>
        <v>40</v>
      </c>
      <c r="D50" s="213">
        <f t="shared" si="12"/>
        <v>4500</v>
      </c>
      <c r="E50" s="213">
        <f t="shared" si="31"/>
        <v>18000</v>
      </c>
      <c r="F50" s="4">
        <f t="shared" si="3"/>
        <v>65.381012000000013</v>
      </c>
      <c r="G50" s="15">
        <f t="shared" si="11"/>
        <v>17934.618987999998</v>
      </c>
      <c r="H50" s="4">
        <f t="shared" si="4"/>
        <v>366.48542955846295</v>
      </c>
      <c r="I50" s="15">
        <f t="shared" si="0"/>
        <v>431.86644155846295</v>
      </c>
      <c r="J50" s="17">
        <f t="shared" si="5"/>
        <v>2.3992580086581276E-2</v>
      </c>
      <c r="K50" s="15">
        <f t="shared" si="26"/>
        <v>17568.133558441536</v>
      </c>
      <c r="L50" s="4">
        <f t="shared" si="6"/>
        <v>284.325638498736</v>
      </c>
      <c r="M50" s="15">
        <f t="shared" si="27"/>
        <v>17283.807919942799</v>
      </c>
      <c r="N50" s="4">
        <f t="shared" si="7"/>
        <v>105.88784154702921</v>
      </c>
      <c r="O50" s="15">
        <f t="shared" si="1"/>
        <v>822.07992160422816</v>
      </c>
      <c r="P50" s="216">
        <f t="shared" si="2"/>
        <v>4.5671106755790454E-2</v>
      </c>
      <c r="Q50" s="216">
        <f t="shared" si="25"/>
        <v>5.2344440089123791E-2</v>
      </c>
      <c r="R50" s="136">
        <f t="shared" si="15"/>
        <v>5.2491703301598927E-2</v>
      </c>
      <c r="S50" s="136">
        <f t="shared" si="32"/>
        <v>3.1820510682900038E-2</v>
      </c>
      <c r="T50" s="216">
        <f t="shared" si="21"/>
        <v>2.3992580086581276E-2</v>
      </c>
      <c r="U50" s="216">
        <f t="shared" si="23"/>
        <v>3.1463246753247943E-2</v>
      </c>
      <c r="V50" s="73">
        <v>26</v>
      </c>
      <c r="W50" s="73">
        <v>26</v>
      </c>
      <c r="X50" s="206"/>
      <c r="Y50" s="206"/>
      <c r="AA50" s="350">
        <f t="shared" si="28"/>
        <v>566.33844155846293</v>
      </c>
      <c r="AB50" s="350">
        <f t="shared" si="29"/>
        <v>942.19992160422828</v>
      </c>
    </row>
    <row r="51" spans="1:30">
      <c r="A51" s="220">
        <f t="shared" si="30"/>
        <v>29126.03441962651</v>
      </c>
      <c r="B51" s="220">
        <f t="shared" si="10"/>
        <v>116504.13767850604</v>
      </c>
      <c r="C51" s="73">
        <f t="shared" si="20"/>
        <v>41</v>
      </c>
      <c r="D51" s="213">
        <f t="shared" si="12"/>
        <v>4600</v>
      </c>
      <c r="E51" s="213">
        <f t="shared" si="31"/>
        <v>18400</v>
      </c>
      <c r="F51" s="4">
        <f t="shared" si="3"/>
        <v>67.447993280000006</v>
      </c>
      <c r="G51" s="15">
        <f t="shared" si="11"/>
        <v>18332.552006720001</v>
      </c>
      <c r="H51" s="4">
        <f t="shared" si="4"/>
        <v>382.92899760768836</v>
      </c>
      <c r="I51" s="15">
        <f t="shared" si="0"/>
        <v>450.37699088768835</v>
      </c>
      <c r="J51" s="17">
        <f t="shared" si="5"/>
        <v>2.447701037433089E-2</v>
      </c>
      <c r="K51" s="15">
        <f t="shared" si="26"/>
        <v>17949.623009112314</v>
      </c>
      <c r="L51" s="4">
        <f t="shared" si="6"/>
        <v>289.25116641494878</v>
      </c>
      <c r="M51" s="15">
        <f t="shared" si="27"/>
        <v>17660.371842697365</v>
      </c>
      <c r="N51" s="4">
        <f t="shared" si="7"/>
        <v>110.5520805197739</v>
      </c>
      <c r="O51" s="15">
        <f t="shared" si="1"/>
        <v>850.18023782241107</v>
      </c>
      <c r="P51" s="216">
        <f t="shared" si="2"/>
        <v>4.6205447707739732E-2</v>
      </c>
      <c r="Q51" s="216">
        <f t="shared" si="25"/>
        <v>5.313544770773973E-2</v>
      </c>
      <c r="R51" s="136">
        <f t="shared" si="15"/>
        <v>5.3287523898317236E-2</v>
      </c>
      <c r="S51" s="136">
        <f t="shared" si="32"/>
        <v>3.2624571463776071E-2</v>
      </c>
      <c r="T51" s="216">
        <f t="shared" si="21"/>
        <v>2.447701037433089E-2</v>
      </c>
      <c r="U51" s="216">
        <f t="shared" si="23"/>
        <v>3.2235010374330887E-2</v>
      </c>
      <c r="V51" s="73">
        <v>27</v>
      </c>
      <c r="W51" s="73">
        <v>27</v>
      </c>
      <c r="X51" s="206"/>
      <c r="Y51" s="206"/>
      <c r="AA51" s="350">
        <f t="shared" si="28"/>
        <v>593.12419088768831</v>
      </c>
      <c r="AB51" s="350">
        <f t="shared" si="29"/>
        <v>977.69223782241102</v>
      </c>
    </row>
    <row r="52" spans="1:30">
      <c r="A52" s="220">
        <f t="shared" si="30"/>
        <v>29759.209080922737</v>
      </c>
      <c r="B52" s="220">
        <f t="shared" si="10"/>
        <v>119036.83632369095</v>
      </c>
      <c r="C52" s="73">
        <f t="shared" si="20"/>
        <v>42</v>
      </c>
      <c r="D52" s="213">
        <f t="shared" si="12"/>
        <v>4700</v>
      </c>
      <c r="E52" s="213">
        <f t="shared" si="31"/>
        <v>18800</v>
      </c>
      <c r="F52" s="4">
        <f t="shared" si="3"/>
        <v>69.560402720000013</v>
      </c>
      <c r="G52" s="15">
        <f t="shared" si="11"/>
        <v>18730.439597280001</v>
      </c>
      <c r="H52" s="4">
        <f t="shared" si="4"/>
        <v>399.73147304420479</v>
      </c>
      <c r="I52" s="15">
        <f t="shared" si="0"/>
        <v>469.2918757642048</v>
      </c>
      <c r="J52" s="17">
        <f t="shared" si="5"/>
        <v>2.4962333817244935E-2</v>
      </c>
      <c r="K52" s="15">
        <f t="shared" si="26"/>
        <v>18330.708124235796</v>
      </c>
      <c r="L52" s="4">
        <f t="shared" si="6"/>
        <v>294.27711398473417</v>
      </c>
      <c r="M52" s="15">
        <f t="shared" si="27"/>
        <v>18036.431010251061</v>
      </c>
      <c r="N52" s="4">
        <f t="shared" si="7"/>
        <v>115.31039053804159</v>
      </c>
      <c r="O52" s="15">
        <f t="shared" si="1"/>
        <v>878.87938028698056</v>
      </c>
      <c r="P52" s="216">
        <f t="shared" si="2"/>
        <v>4.6748903206754289E-2</v>
      </c>
      <c r="Q52" s="216">
        <f t="shared" si="25"/>
        <v>5.3935569873420956E-2</v>
      </c>
      <c r="R52" s="136">
        <f t="shared" si="15"/>
        <v>5.4092734149676296E-2</v>
      </c>
      <c r="S52" s="136">
        <f t="shared" si="32"/>
        <v>3.3430337540674315E-2</v>
      </c>
      <c r="T52" s="216">
        <f t="shared" si="21"/>
        <v>2.4962333817244935E-2</v>
      </c>
      <c r="U52" s="216">
        <f t="shared" si="23"/>
        <v>3.300766715057827E-2</v>
      </c>
      <c r="V52" s="73">
        <v>28</v>
      </c>
      <c r="W52" s="73">
        <v>28</v>
      </c>
      <c r="X52" s="206"/>
      <c r="Y52" s="206"/>
      <c r="AA52" s="350">
        <f t="shared" si="28"/>
        <v>620.54414243087149</v>
      </c>
      <c r="AB52" s="350">
        <f t="shared" si="29"/>
        <v>1013.988713620314</v>
      </c>
    </row>
    <row r="53" spans="1:30">
      <c r="A53" s="80"/>
      <c r="B53" s="80"/>
      <c r="C53" s="73"/>
      <c r="D53" s="2"/>
      <c r="F53" s="4"/>
      <c r="G53" s="15"/>
      <c r="H53" s="4"/>
      <c r="I53" s="4"/>
      <c r="J53" s="20"/>
      <c r="K53" s="4"/>
      <c r="L53" s="4"/>
      <c r="M53" s="4"/>
      <c r="N53" s="4"/>
      <c r="O53" s="15"/>
      <c r="P53" s="104"/>
      <c r="Q53" s="104"/>
      <c r="R53" s="136"/>
      <c r="S53" s="136"/>
      <c r="T53" s="20"/>
      <c r="U53" s="104"/>
      <c r="V53" s="73"/>
      <c r="W53" s="73"/>
      <c r="AA53" s="4"/>
      <c r="AB53" s="4"/>
    </row>
    <row r="54" spans="1:30" ht="13.5" thickBot="1">
      <c r="A54" s="353"/>
      <c r="B54" s="353"/>
      <c r="C54" s="6"/>
      <c r="D54" s="6"/>
      <c r="E54" s="353"/>
      <c r="F54" s="15"/>
      <c r="G54" s="353"/>
      <c r="H54" s="5"/>
      <c r="I54" s="5"/>
      <c r="J54" s="5"/>
      <c r="K54" s="5"/>
      <c r="L54" s="5"/>
      <c r="M54" s="5"/>
      <c r="N54" s="5"/>
      <c r="O54" s="5"/>
      <c r="Q54" s="206"/>
      <c r="V54" s="2"/>
      <c r="W54" s="2"/>
    </row>
    <row r="55" spans="1:30" ht="13.5" thickTop="1">
      <c r="A55" s="269" t="s">
        <v>170</v>
      </c>
      <c r="B55" s="188" t="s">
        <v>34</v>
      </c>
      <c r="C55" s="256"/>
      <c r="D55" s="188" t="s">
        <v>170</v>
      </c>
      <c r="E55" s="257" t="s">
        <v>33</v>
      </c>
      <c r="F55" s="4"/>
      <c r="G55" s="233"/>
      <c r="H55" s="5"/>
      <c r="I55" s="5"/>
      <c r="J55" s="5"/>
      <c r="K55" s="5"/>
      <c r="L55" s="5"/>
      <c r="M55" s="5"/>
      <c r="N55" s="5"/>
      <c r="O55" s="5"/>
      <c r="P55" s="5"/>
      <c r="Q55" s="236"/>
      <c r="R55" s="221" t="s">
        <v>153</v>
      </c>
      <c r="S55" s="222" t="s">
        <v>151</v>
      </c>
      <c r="T55" s="223" t="s">
        <v>33</v>
      </c>
      <c r="U55" s="224"/>
    </row>
    <row r="56" spans="1:30">
      <c r="A56" s="299">
        <f>'1) General Information'!F60</f>
        <v>12969</v>
      </c>
      <c r="B56" s="254">
        <f>A56*4</f>
        <v>51876</v>
      </c>
      <c r="C56" s="194" t="s">
        <v>171</v>
      </c>
      <c r="D56" s="194">
        <f>E56/4</f>
        <v>2048.25</v>
      </c>
      <c r="E56" s="301">
        <f>'1) General Information'!G58</f>
        <v>8193</v>
      </c>
      <c r="F56" s="250">
        <f>$E$71+$F$71*E56*E56</f>
        <v>28.914301723787002</v>
      </c>
      <c r="G56" s="250">
        <f>+E56-F56</f>
        <v>8164.0856982762134</v>
      </c>
      <c r="H56" s="250">
        <f>$H$71*G56*G56</f>
        <v>75.942958729103779</v>
      </c>
      <c r="I56" s="250">
        <f>+H56+F56</f>
        <v>104.85726045289078</v>
      </c>
      <c r="J56" s="283">
        <f>+I56/E56</f>
        <v>1.2798396247148881E-2</v>
      </c>
      <c r="K56" s="250">
        <f>+G56-H56</f>
        <v>8088.1427395471101</v>
      </c>
      <c r="L56" s="250">
        <f>$K$71+$L$71*K56*K56</f>
        <v>195.91057436341799</v>
      </c>
      <c r="M56" s="250">
        <f>+K56-L56</f>
        <v>7892.2321651836919</v>
      </c>
      <c r="N56" s="250">
        <f>$N$71*M56*M56</f>
        <v>22.078366477535276</v>
      </c>
      <c r="O56" s="250">
        <f>+F56+H56+L56+N56</f>
        <v>322.84620129384405</v>
      </c>
      <c r="P56" s="284">
        <f>O56/E56</f>
        <v>3.9405126485273285E-2</v>
      </c>
      <c r="R56" s="225">
        <f>$B$119*A56/$A$56+$B$120+$B$121*$A$56/A56</f>
        <v>3.9720000000000005E-2</v>
      </c>
      <c r="S56" s="226">
        <f>$S$73*A56/$A$56+$S$74+$S$75*$A$56/A56</f>
        <v>1.3330999999999999E-2</v>
      </c>
      <c r="T56" s="227" t="s">
        <v>172</v>
      </c>
      <c r="U56" s="228"/>
    </row>
    <row r="57" spans="1:30" ht="13.5" thickBot="1">
      <c r="A57" s="255">
        <f>B57/4</f>
        <v>21327.75</v>
      </c>
      <c r="B57" s="300">
        <f>'1) General Information'!G59</f>
        <v>85311</v>
      </c>
      <c r="C57" s="193" t="s">
        <v>173</v>
      </c>
      <c r="D57" s="193">
        <f>E57/4</f>
        <v>4264.25</v>
      </c>
      <c r="E57" s="317">
        <v>17057</v>
      </c>
      <c r="F57" s="376">
        <f>E71+F71*E57*E57</f>
        <v>60.687892531787</v>
      </c>
      <c r="G57" s="250">
        <f>'1) General Information'!G57</f>
        <v>16996</v>
      </c>
      <c r="H57" s="376">
        <f>H71*G57*G57</f>
        <v>329.12877119024</v>
      </c>
      <c r="I57" s="250">
        <f>+H57+F57</f>
        <v>389.81666372202699</v>
      </c>
      <c r="J57" s="283">
        <f>+I57/E57</f>
        <v>2.2853764655099196E-2</v>
      </c>
      <c r="K57" s="250">
        <f>+G57-H57</f>
        <v>16666.871228809759</v>
      </c>
      <c r="L57" s="250">
        <f>K71+L71*K57*K57</f>
        <v>273.10942318687506</v>
      </c>
      <c r="M57" s="250">
        <f>+K57-L57</f>
        <v>16393.761805622886</v>
      </c>
      <c r="N57" s="250">
        <f>N71*M57*M57</f>
        <v>95.263048349407086</v>
      </c>
      <c r="O57" s="250">
        <f>+F57+H57+L57+N57</f>
        <v>758.18913525830919</v>
      </c>
      <c r="P57" s="284">
        <f>O57/E57</f>
        <v>4.4450321584001244E-2</v>
      </c>
      <c r="R57" s="225">
        <f>$B$119*A57/$A$56+$B$120+$B$121*$A$56/A57</f>
        <v>4.4399065204511035E-2</v>
      </c>
      <c r="S57" s="226">
        <f>$S$73*A57/$A$56+$S$74+$S$75*$A$56/A57</f>
        <v>2.2887439100487225E-2</v>
      </c>
      <c r="T57" s="227" t="s">
        <v>174</v>
      </c>
      <c r="U57" s="228"/>
    </row>
    <row r="58" spans="1:30" ht="13.5" thickBot="1">
      <c r="A58" s="126"/>
      <c r="B58" s="132">
        <f>B57/B56</f>
        <v>1.6445176960444137</v>
      </c>
      <c r="C58" s="6"/>
      <c r="E58" s="132">
        <f>E57/E56</f>
        <v>2.081899182228732</v>
      </c>
      <c r="F58" s="4"/>
      <c r="G58" s="234"/>
      <c r="H58" s="4"/>
      <c r="I58" s="4"/>
      <c r="J58" s="134"/>
      <c r="K58" s="4"/>
      <c r="L58" s="4"/>
      <c r="M58" s="15"/>
      <c r="N58" s="4"/>
      <c r="O58" s="15"/>
      <c r="P58" s="106"/>
      <c r="R58" s="229"/>
      <c r="S58" s="230"/>
      <c r="T58" s="231"/>
      <c r="U58" s="232"/>
    </row>
    <row r="59" spans="1:30" ht="13.5" thickTop="1">
      <c r="A59" s="126"/>
      <c r="B59" s="132"/>
      <c r="C59" s="6"/>
      <c r="E59" s="132"/>
      <c r="F59" s="330">
        <f>F57+G57</f>
        <v>17056.687892531787</v>
      </c>
      <c r="G59" s="234"/>
      <c r="H59" s="4"/>
      <c r="I59" s="4"/>
      <c r="J59" s="134"/>
      <c r="K59" s="4"/>
      <c r="L59" s="4"/>
      <c r="M59" s="15"/>
      <c r="N59" s="4"/>
      <c r="O59" s="15"/>
      <c r="P59" s="106"/>
      <c r="R59" s="136"/>
      <c r="S59" s="136"/>
      <c r="T59" s="235"/>
    </row>
    <row r="60" spans="1:30">
      <c r="A60" s="126"/>
      <c r="B60" s="132"/>
      <c r="C60" s="6"/>
      <c r="E60" s="132"/>
      <c r="F60" s="4"/>
      <c r="G60" s="234"/>
      <c r="H60" s="4"/>
      <c r="I60" s="4"/>
      <c r="J60" s="134"/>
      <c r="K60" s="4"/>
      <c r="L60" s="4"/>
      <c r="M60" s="15"/>
      <c r="N60" s="4"/>
      <c r="O60" s="15"/>
      <c r="P60" s="106"/>
      <c r="R60" s="136"/>
      <c r="S60" s="136"/>
      <c r="T60" s="235"/>
    </row>
    <row r="61" spans="1:30">
      <c r="A61" s="5" t="s">
        <v>175</v>
      </c>
      <c r="B61" s="267">
        <f>G56</f>
        <v>8164.0856982762134</v>
      </c>
      <c r="C61" s="5" t="s">
        <v>176</v>
      </c>
      <c r="D61" s="5"/>
      <c r="E61" s="5"/>
      <c r="F61" s="5"/>
      <c r="G61" s="5"/>
      <c r="H61" s="5"/>
      <c r="I61" s="5"/>
      <c r="J61" s="15">
        <f>F56</f>
        <v>28.914301723787002</v>
      </c>
      <c r="K61" s="5" t="s">
        <v>177</v>
      </c>
      <c r="L61" s="5"/>
      <c r="M61" s="15"/>
      <c r="N61" s="4"/>
      <c r="O61" s="15"/>
      <c r="P61" s="106"/>
      <c r="R61" s="136"/>
      <c r="S61" s="136"/>
      <c r="T61" s="235"/>
    </row>
    <row r="62" spans="1:30">
      <c r="A62" s="5" t="s">
        <v>178</v>
      </c>
      <c r="B62" s="318">
        <f>G57</f>
        <v>16996</v>
      </c>
      <c r="C62" s="427" t="s">
        <v>179</v>
      </c>
      <c r="D62" s="427"/>
      <c r="E62" s="427"/>
      <c r="F62" s="427"/>
      <c r="G62" s="427"/>
      <c r="H62" s="427"/>
      <c r="I62" s="427"/>
      <c r="J62" s="427"/>
      <c r="K62" s="427"/>
      <c r="L62" s="427"/>
      <c r="M62" s="5"/>
      <c r="N62" s="5"/>
      <c r="O62" s="5"/>
      <c r="P62" s="444" t="s">
        <v>180</v>
      </c>
      <c r="Q62" s="445"/>
      <c r="R62" s="442" t="s">
        <v>181</v>
      </c>
      <c r="S62" s="443"/>
      <c r="T62" s="104"/>
    </row>
    <row r="63" spans="1:30">
      <c r="A63" s="427" t="s">
        <v>182</v>
      </c>
      <c r="B63" s="477"/>
      <c r="C63" s="477"/>
      <c r="D63" s="477"/>
      <c r="E63" s="477"/>
      <c r="F63" s="477"/>
      <c r="G63" s="477"/>
      <c r="H63" s="477"/>
      <c r="I63" s="477"/>
      <c r="J63" s="477"/>
      <c r="K63" s="477"/>
      <c r="L63" s="477"/>
      <c r="M63" s="477"/>
      <c r="N63" s="4"/>
      <c r="O63" s="15"/>
      <c r="P63" s="338"/>
      <c r="Q63" s="339"/>
      <c r="R63" s="338"/>
      <c r="S63" s="339"/>
    </row>
    <row r="64" spans="1:30">
      <c r="A64" s="5" t="s">
        <v>183</v>
      </c>
      <c r="B64" s="73"/>
      <c r="C64" s="73"/>
      <c r="D64" s="5"/>
      <c r="E64" s="73"/>
      <c r="F64" s="319"/>
      <c r="G64" s="73"/>
      <c r="H64" s="73"/>
      <c r="I64" s="73"/>
      <c r="J64" s="73"/>
      <c r="K64" s="73"/>
      <c r="L64" s="73"/>
      <c r="M64" s="73"/>
      <c r="N64" s="2"/>
      <c r="O64" s="2"/>
      <c r="P64" s="340" t="s">
        <v>184</v>
      </c>
      <c r="Q64" s="357">
        <v>4.4400000000000004</v>
      </c>
      <c r="R64" s="340" t="s">
        <v>184</v>
      </c>
      <c r="S64" s="358" t="s">
        <v>185</v>
      </c>
      <c r="AD64" s="2"/>
    </row>
    <row r="65" spans="1:30">
      <c r="A65" s="156"/>
      <c r="E65" s="2"/>
      <c r="F65" s="27"/>
      <c r="G65" s="2"/>
      <c r="H65" s="2"/>
      <c r="I65" s="2"/>
      <c r="J65" s="2"/>
      <c r="K65" s="2"/>
      <c r="L65" s="2"/>
      <c r="M65" s="2"/>
      <c r="N65" s="2"/>
      <c r="O65" s="2"/>
      <c r="P65" s="341" t="s">
        <v>186</v>
      </c>
      <c r="Q65" s="357">
        <v>4.4379999999999997</v>
      </c>
      <c r="R65" s="341" t="s">
        <v>186</v>
      </c>
      <c r="S65" s="358" t="s">
        <v>185</v>
      </c>
      <c r="AD65" s="2"/>
    </row>
    <row r="66" spans="1:30">
      <c r="A66" s="156"/>
      <c r="E66" s="2"/>
      <c r="F66" s="27"/>
      <c r="G66" s="2"/>
      <c r="H66" s="2"/>
      <c r="I66" s="2"/>
      <c r="J66" s="2"/>
      <c r="K66" s="2"/>
      <c r="L66" s="2"/>
      <c r="M66" s="2"/>
      <c r="N66" s="2"/>
      <c r="O66" s="2"/>
      <c r="R66"/>
      <c r="S66"/>
      <c r="AD66" s="2"/>
    </row>
    <row r="67" spans="1:30" ht="15.75">
      <c r="A67" s="156"/>
      <c r="E67" s="2"/>
      <c r="F67" s="27"/>
      <c r="G67" s="2"/>
      <c r="H67" s="2"/>
      <c r="I67" s="2"/>
      <c r="J67" s="2"/>
      <c r="K67" s="2"/>
      <c r="L67" s="2"/>
      <c r="M67" s="2"/>
      <c r="N67" s="2"/>
      <c r="O67" s="2"/>
      <c r="P67" s="324" t="s">
        <v>187</v>
      </c>
      <c r="Q67" s="325"/>
      <c r="S67" s="314">
        <f>'3) Loss Equations'!D19</f>
        <v>2025</v>
      </c>
      <c r="AD67" s="2"/>
    </row>
    <row r="68" spans="1:30">
      <c r="A68" s="156"/>
      <c r="E68" s="2"/>
      <c r="F68" s="27"/>
      <c r="G68" s="2"/>
      <c r="H68" s="2"/>
      <c r="I68" s="2"/>
      <c r="J68" s="2"/>
      <c r="K68" s="2"/>
      <c r="L68" s="2"/>
      <c r="M68" s="2"/>
      <c r="N68" s="2"/>
      <c r="O68" s="2"/>
      <c r="P68" s="326" t="s">
        <v>153</v>
      </c>
      <c r="Q68" s="327" t="s">
        <v>151</v>
      </c>
      <c r="S68" s="6" t="s">
        <v>188</v>
      </c>
      <c r="AD68" s="2"/>
    </row>
    <row r="69" spans="1:30" ht="13.5" thickBot="1">
      <c r="B69"/>
      <c r="E69" s="88" t="s">
        <v>189</v>
      </c>
      <c r="F69" s="186"/>
      <c r="G69" s="88" t="s">
        <v>190</v>
      </c>
      <c r="H69" s="6"/>
      <c r="I69" s="6"/>
      <c r="J69" s="6"/>
      <c r="K69" s="88" t="s">
        <v>191</v>
      </c>
      <c r="L69" s="88"/>
      <c r="M69" s="88" t="s">
        <v>192</v>
      </c>
      <c r="N69" s="6"/>
      <c r="O69" s="2"/>
      <c r="P69" s="322">
        <v>3.8500000000000001E-3</v>
      </c>
      <c r="Q69" s="323">
        <v>4.3099999999999996E-3</v>
      </c>
      <c r="S69" s="6" t="s">
        <v>193</v>
      </c>
      <c r="AD69" s="2"/>
    </row>
    <row r="70" spans="1:30" ht="13.5" thickBot="1">
      <c r="E70" s="404" t="s">
        <v>110</v>
      </c>
      <c r="F70" s="405" t="s">
        <v>111</v>
      </c>
      <c r="G70" s="406" t="s">
        <v>110</v>
      </c>
      <c r="H70" s="407" t="s">
        <v>111</v>
      </c>
      <c r="I70" s="2"/>
      <c r="J70" s="2"/>
      <c r="K70" s="408" t="s">
        <v>110</v>
      </c>
      <c r="L70" s="409" t="s">
        <v>111</v>
      </c>
      <c r="M70" s="410" t="s">
        <v>110</v>
      </c>
      <c r="N70" s="411" t="s">
        <v>111</v>
      </c>
      <c r="R70" s="428" t="s">
        <v>194</v>
      </c>
      <c r="S70" s="428"/>
      <c r="T70" s="428"/>
      <c r="AD70" s="2"/>
    </row>
    <row r="71" spans="1:30" ht="13.5" thickBot="1">
      <c r="C71" s="432"/>
      <c r="D71" s="432"/>
      <c r="E71" s="412">
        <v>19.385000000000002</v>
      </c>
      <c r="F71" s="413">
        <v>1.4196300000000001E-7</v>
      </c>
      <c r="G71" s="414">
        <v>0</v>
      </c>
      <c r="H71" s="415">
        <v>1.13939E-6</v>
      </c>
      <c r="I71" s="2"/>
      <c r="J71" s="2"/>
      <c r="K71" s="416">
        <v>172.13</v>
      </c>
      <c r="L71" s="417">
        <v>3.6351699999999999E-7</v>
      </c>
      <c r="M71" s="418">
        <v>0</v>
      </c>
      <c r="N71" s="419">
        <v>3.5446000000000001E-7</v>
      </c>
      <c r="O71" s="432"/>
      <c r="P71" s="432"/>
      <c r="R71" s="170"/>
      <c r="S71" s="188"/>
      <c r="T71" s="420"/>
      <c r="AD71" s="2"/>
    </row>
    <row r="72" spans="1:30">
      <c r="R72" s="173"/>
      <c r="S72" s="194"/>
      <c r="T72" s="421"/>
      <c r="AD72" s="2"/>
    </row>
    <row r="73" spans="1:30" ht="15.75">
      <c r="L73" s="102" t="s">
        <v>195</v>
      </c>
      <c r="M73" s="103"/>
      <c r="N73" s="103"/>
      <c r="O73" s="102" t="s">
        <v>196</v>
      </c>
      <c r="P73" s="103"/>
      <c r="R73" s="422" t="s">
        <v>197</v>
      </c>
      <c r="S73" s="251">
        <f>B96</f>
        <v>1.729E-2</v>
      </c>
      <c r="T73" s="423" t="s">
        <v>198</v>
      </c>
      <c r="AD73" s="2"/>
    </row>
    <row r="74" spans="1:30" ht="15.75">
      <c r="L74" s="102"/>
      <c r="M74" s="103"/>
      <c r="N74" s="103"/>
      <c r="O74" s="102"/>
      <c r="P74" s="103"/>
      <c r="R74" s="422" t="s">
        <v>199</v>
      </c>
      <c r="S74" s="251">
        <f>B97</f>
        <v>-8.0090000000000005E-3</v>
      </c>
      <c r="T74" s="423" t="s">
        <v>200</v>
      </c>
      <c r="AD74" s="2"/>
    </row>
    <row r="75" spans="1:30" ht="15.75">
      <c r="L75" s="102"/>
      <c r="M75" s="103"/>
      <c r="N75" s="103"/>
      <c r="O75" s="102"/>
      <c r="P75" s="103"/>
      <c r="R75" s="422" t="s">
        <v>201</v>
      </c>
      <c r="S75" s="251">
        <f>B98</f>
        <v>4.0499999999999998E-3</v>
      </c>
      <c r="T75" s="423" t="s">
        <v>202</v>
      </c>
      <c r="AD75" s="2"/>
    </row>
    <row r="76" spans="1:30" s="5" customFormat="1" ht="16.5" thickBot="1">
      <c r="B76" s="73"/>
      <c r="C76" s="2"/>
      <c r="D76"/>
      <c r="E76"/>
      <c r="F76"/>
      <c r="G76"/>
      <c r="H76"/>
      <c r="I76" s="2"/>
      <c r="J76" s="119" t="s">
        <v>203</v>
      </c>
      <c r="K76" s="2"/>
      <c r="L76" s="102"/>
      <c r="M76" s="103"/>
      <c r="N76" s="103"/>
      <c r="O76" s="102"/>
      <c r="P76" s="103"/>
      <c r="R76" s="175"/>
      <c r="S76" s="193"/>
      <c r="T76" s="424"/>
      <c r="AA76" s="73"/>
      <c r="AB76" s="73"/>
      <c r="AD76" s="73"/>
    </row>
    <row r="77" spans="1:30" ht="15.75">
      <c r="L77" s="102"/>
      <c r="M77" s="103"/>
      <c r="N77" s="103"/>
      <c r="O77" s="102"/>
      <c r="P77" s="103"/>
      <c r="S77" s="6"/>
      <c r="T77" s="2"/>
      <c r="AD77" s="2"/>
    </row>
    <row r="78" spans="1:30" ht="16.5" thickBot="1">
      <c r="C78" s="85"/>
      <c r="L78" s="102"/>
      <c r="M78" s="103"/>
      <c r="N78" s="103"/>
      <c r="O78" s="102"/>
      <c r="P78" s="103"/>
      <c r="S78" s="85" t="s">
        <v>204</v>
      </c>
      <c r="T78" s="2"/>
      <c r="AD78" s="2"/>
    </row>
    <row r="79" spans="1:30" ht="15.75">
      <c r="L79" s="102"/>
      <c r="M79" s="103"/>
      <c r="N79" s="103"/>
      <c r="O79" s="102"/>
      <c r="P79" s="103"/>
      <c r="R79" s="170"/>
      <c r="S79" s="188"/>
      <c r="T79" s="420"/>
      <c r="AD79" s="2"/>
    </row>
    <row r="80" spans="1:30" ht="16.5" customHeight="1">
      <c r="C80" s="336"/>
      <c r="L80" s="102"/>
      <c r="M80" s="103"/>
      <c r="N80" s="103"/>
      <c r="O80" s="102"/>
      <c r="P80" s="103"/>
      <c r="R80" s="173"/>
      <c r="S80" s="194"/>
      <c r="T80" s="421"/>
      <c r="AD80" s="2"/>
    </row>
    <row r="81" spans="1:30" ht="15.75">
      <c r="C81" s="336"/>
      <c r="L81" s="102"/>
      <c r="M81" s="103"/>
      <c r="N81" s="103"/>
      <c r="O81" s="102"/>
      <c r="P81" s="103"/>
      <c r="R81" s="422" t="s">
        <v>197</v>
      </c>
      <c r="S81" s="251">
        <f>B119</f>
        <v>2.0820000000000002E-2</v>
      </c>
      <c r="T81" s="423" t="s">
        <v>198</v>
      </c>
      <c r="AD81" s="2"/>
    </row>
    <row r="82" spans="1:30" ht="15.75">
      <c r="C82" s="336"/>
      <c r="L82" s="102"/>
      <c r="M82" s="103"/>
      <c r="N82" s="103"/>
      <c r="O82" s="102"/>
      <c r="P82" s="103"/>
      <c r="R82" s="422" t="s">
        <v>199</v>
      </c>
      <c r="S82" s="251">
        <f>B120</f>
        <v>-3.3999999999999998E-3</v>
      </c>
      <c r="T82" s="423" t="s">
        <v>200</v>
      </c>
      <c r="AD82" s="2"/>
    </row>
    <row r="83" spans="1:30" ht="15.75">
      <c r="L83" s="102"/>
      <c r="M83" s="103"/>
      <c r="N83" s="103"/>
      <c r="O83" s="102"/>
      <c r="P83" s="103"/>
      <c r="R83" s="422" t="s">
        <v>201</v>
      </c>
      <c r="S83" s="251">
        <f>B121</f>
        <v>2.23E-2</v>
      </c>
      <c r="T83" s="423" t="s">
        <v>202</v>
      </c>
      <c r="AD83" s="2"/>
    </row>
    <row r="84" spans="1:30" ht="16.5" thickBot="1">
      <c r="L84" s="102"/>
      <c r="M84" s="103"/>
      <c r="N84" s="103"/>
      <c r="O84" s="102"/>
      <c r="P84" s="103"/>
      <c r="R84" s="175"/>
      <c r="S84" s="193"/>
      <c r="T84" s="424"/>
      <c r="AD84" s="2"/>
    </row>
    <row r="85" spans="1:30" ht="15.75">
      <c r="L85" s="102"/>
      <c r="M85" s="103"/>
      <c r="N85" s="103"/>
      <c r="O85" s="102"/>
      <c r="P85" s="103"/>
      <c r="AD85" s="2"/>
    </row>
    <row r="86" spans="1:30" ht="15.75">
      <c r="L86" s="102"/>
      <c r="M86" s="103"/>
      <c r="N86" s="103"/>
      <c r="O86" s="102"/>
      <c r="P86" s="103"/>
      <c r="Q86" s="2"/>
      <c r="AD86" s="2"/>
    </row>
    <row r="87" spans="1:30" ht="15.75">
      <c r="L87" s="102"/>
      <c r="M87" s="103"/>
      <c r="N87" s="103"/>
      <c r="O87" s="102"/>
      <c r="P87" s="103"/>
      <c r="Q87" s="2"/>
      <c r="AD87" s="2"/>
    </row>
    <row r="88" spans="1:30" ht="15.75">
      <c r="L88" s="102"/>
      <c r="M88" s="103"/>
      <c r="N88" s="103"/>
      <c r="O88" s="102"/>
      <c r="P88" s="103"/>
      <c r="Q88" s="2"/>
      <c r="AD88" s="2"/>
    </row>
    <row r="89" spans="1:30" ht="15.75">
      <c r="L89" s="102"/>
      <c r="M89" s="103"/>
      <c r="N89" s="103"/>
      <c r="O89" s="102"/>
      <c r="P89" s="103"/>
      <c r="Q89" s="2"/>
      <c r="AD89" s="2"/>
    </row>
    <row r="90" spans="1:30" ht="15.75">
      <c r="L90" s="102"/>
      <c r="M90" s="103"/>
      <c r="N90" s="103"/>
      <c r="O90" s="102"/>
      <c r="P90" s="103"/>
      <c r="Q90" s="2"/>
      <c r="V90" s="97"/>
      <c r="AD90" s="2"/>
    </row>
    <row r="91" spans="1:30" ht="15.75">
      <c r="L91" s="102"/>
      <c r="M91" s="103"/>
      <c r="N91" s="103"/>
      <c r="O91" s="102"/>
      <c r="P91" s="103"/>
      <c r="V91" s="97"/>
      <c r="AD91" s="2"/>
    </row>
    <row r="92" spans="1:30" ht="15.75">
      <c r="L92" s="102"/>
      <c r="M92" s="103"/>
      <c r="N92" s="103"/>
      <c r="O92" s="102"/>
      <c r="P92" s="103"/>
      <c r="V92" s="97"/>
      <c r="AD92" s="2"/>
    </row>
    <row r="93" spans="1:30" ht="15.75">
      <c r="L93" s="102"/>
      <c r="M93" s="103"/>
      <c r="N93" s="103"/>
      <c r="O93" s="102"/>
      <c r="P93" s="103"/>
      <c r="AD93" s="2"/>
    </row>
    <row r="94" spans="1:30" ht="16.5" thickBot="1">
      <c r="A94" s="85" t="s">
        <v>194</v>
      </c>
      <c r="B94" s="85"/>
      <c r="C94" s="85"/>
      <c r="L94" s="102"/>
      <c r="M94" s="103"/>
      <c r="N94" s="103"/>
      <c r="O94" s="102"/>
      <c r="P94" s="103"/>
      <c r="AD94" s="2"/>
    </row>
    <row r="95" spans="1:30" ht="16.5" thickTop="1">
      <c r="A95" s="302"/>
      <c r="B95" s="303"/>
      <c r="C95" s="304"/>
      <c r="L95" s="102"/>
      <c r="M95" s="103"/>
      <c r="N95" s="103"/>
      <c r="O95" s="102"/>
      <c r="P95" s="103"/>
      <c r="Q95" s="103"/>
      <c r="X95" s="2"/>
      <c r="AD95" s="2"/>
    </row>
    <row r="96" spans="1:30" ht="15.75">
      <c r="A96" s="305" t="s">
        <v>197</v>
      </c>
      <c r="B96" s="351">
        <v>1.729E-2</v>
      </c>
      <c r="C96" s="306" t="s">
        <v>198</v>
      </c>
      <c r="L96" s="102"/>
      <c r="M96" s="103"/>
      <c r="N96" s="103"/>
      <c r="O96" s="102"/>
      <c r="P96" s="103"/>
      <c r="Q96" s="103"/>
      <c r="X96" s="2"/>
      <c r="AD96" s="2"/>
    </row>
    <row r="97" spans="1:30" ht="15.75">
      <c r="A97" s="305" t="s">
        <v>199</v>
      </c>
      <c r="B97" s="351">
        <v>-8.0090000000000005E-3</v>
      </c>
      <c r="C97" s="306" t="s">
        <v>200</v>
      </c>
      <c r="L97" s="102"/>
      <c r="M97" s="103"/>
      <c r="N97" s="103"/>
      <c r="O97" s="102"/>
      <c r="P97" s="103"/>
      <c r="Q97" s="103"/>
      <c r="X97" s="2"/>
      <c r="AD97" s="2"/>
    </row>
    <row r="98" spans="1:30" ht="15.75">
      <c r="A98" s="305" t="s">
        <v>201</v>
      </c>
      <c r="B98" s="351">
        <v>4.0499999999999998E-3</v>
      </c>
      <c r="C98" s="306" t="s">
        <v>202</v>
      </c>
      <c r="L98" s="102"/>
      <c r="M98" s="103"/>
      <c r="N98" s="103"/>
      <c r="O98" s="102"/>
      <c r="P98" s="103"/>
      <c r="Q98" s="103"/>
      <c r="X98" s="2"/>
      <c r="AD98" s="2"/>
    </row>
    <row r="99" spans="1:30" ht="16.5" thickBot="1">
      <c r="A99" s="307"/>
      <c r="B99" s="308"/>
      <c r="C99" s="309"/>
      <c r="L99" s="102"/>
      <c r="M99" s="103"/>
      <c r="N99" s="103"/>
      <c r="O99" s="102"/>
      <c r="P99" s="103"/>
      <c r="Q99" s="103"/>
      <c r="X99" s="2"/>
      <c r="AD99" s="2"/>
    </row>
    <row r="100" spans="1:30" ht="16.5" thickTop="1">
      <c r="L100" s="102"/>
      <c r="M100" s="103"/>
      <c r="N100" s="103"/>
      <c r="O100" s="102"/>
      <c r="P100" s="103"/>
      <c r="Q100" s="103"/>
      <c r="X100" s="2"/>
      <c r="AD100" s="2"/>
    </row>
    <row r="101" spans="1:30" ht="15.75">
      <c r="L101" s="102"/>
      <c r="M101" s="103"/>
      <c r="N101" s="103"/>
      <c r="O101" s="102"/>
      <c r="P101" s="103"/>
      <c r="Q101" s="103"/>
      <c r="X101" s="2"/>
      <c r="AD101" s="2"/>
    </row>
    <row r="102" spans="1:30" ht="15.75">
      <c r="L102" s="102"/>
      <c r="M102" s="103"/>
      <c r="N102" s="103"/>
      <c r="O102" s="102"/>
      <c r="P102" s="103"/>
      <c r="Q102" s="103"/>
      <c r="X102" s="2"/>
      <c r="AD102" s="2"/>
    </row>
    <row r="103" spans="1:30" ht="15.75">
      <c r="L103" s="102"/>
      <c r="M103" s="103"/>
      <c r="N103" s="103"/>
      <c r="O103" s="102"/>
      <c r="P103" s="103"/>
      <c r="Q103" s="103"/>
      <c r="X103" s="2"/>
      <c r="AD103" s="2"/>
    </row>
    <row r="104" spans="1:30" ht="15.75">
      <c r="L104" s="102"/>
      <c r="M104" s="103"/>
      <c r="N104" s="103"/>
      <c r="O104" s="102"/>
      <c r="P104" s="103"/>
      <c r="Q104" s="103"/>
      <c r="X104" s="2"/>
      <c r="AD104" s="2"/>
    </row>
    <row r="105" spans="1:30" ht="15.75">
      <c r="L105" s="102"/>
      <c r="M105" s="103"/>
      <c r="N105" s="103"/>
      <c r="O105" s="102"/>
      <c r="P105" s="103"/>
      <c r="Q105" s="103"/>
      <c r="X105" s="2"/>
      <c r="AD105" s="2"/>
    </row>
    <row r="106" spans="1:30" ht="15.75">
      <c r="L106" s="102"/>
      <c r="M106" s="103"/>
      <c r="N106" s="103"/>
      <c r="O106" s="102"/>
      <c r="P106" s="103"/>
      <c r="Q106" s="103"/>
      <c r="X106" s="2"/>
      <c r="AD106" s="2"/>
    </row>
    <row r="107" spans="1:30" ht="15.75">
      <c r="L107" s="102"/>
      <c r="M107" s="103"/>
      <c r="N107" s="103"/>
      <c r="O107" s="102"/>
      <c r="P107" s="103"/>
      <c r="Q107" s="103"/>
      <c r="X107" s="2"/>
      <c r="AD107" s="2"/>
    </row>
    <row r="108" spans="1:30" ht="15.75">
      <c r="L108" s="102"/>
      <c r="M108" s="103"/>
      <c r="N108" s="103"/>
      <c r="O108" s="102"/>
      <c r="P108" s="103"/>
      <c r="Q108" s="103"/>
      <c r="X108" s="2"/>
      <c r="AD108" s="2"/>
    </row>
    <row r="109" spans="1:30" ht="15.75">
      <c r="L109" s="102"/>
      <c r="M109" s="103"/>
      <c r="N109" s="103"/>
      <c r="O109" s="102"/>
      <c r="P109" s="103"/>
      <c r="Q109" s="103"/>
      <c r="X109" s="2"/>
      <c r="AD109" s="2"/>
    </row>
    <row r="110" spans="1:30" ht="15.75">
      <c r="L110" s="102"/>
      <c r="M110" s="103"/>
      <c r="N110" s="103"/>
      <c r="O110" s="102"/>
      <c r="P110" s="103"/>
      <c r="Q110" s="103"/>
      <c r="X110" s="2"/>
      <c r="AD110" s="2"/>
    </row>
    <row r="111" spans="1:30" ht="15">
      <c r="E111" s="2"/>
      <c r="F111" s="2"/>
      <c r="G111" s="2"/>
      <c r="H111" s="2"/>
      <c r="I111" s="2"/>
      <c r="J111" s="2"/>
      <c r="O111" s="2"/>
      <c r="P111" s="2"/>
      <c r="Q111" s="103"/>
      <c r="X111" s="2"/>
      <c r="AD111" s="2"/>
    </row>
    <row r="112" spans="1:30" ht="15"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103"/>
      <c r="X112" s="2"/>
      <c r="AD112" s="2"/>
    </row>
    <row r="113" spans="1:30" ht="15">
      <c r="B113"/>
      <c r="C113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103"/>
      <c r="X113" s="2"/>
      <c r="AD113" s="2"/>
    </row>
    <row r="114" spans="1:30" ht="15.75">
      <c r="E114" s="2"/>
      <c r="F114" s="2"/>
      <c r="H114" s="2"/>
      <c r="I114" s="2"/>
      <c r="J114" s="2"/>
      <c r="K114" s="2"/>
      <c r="L114" s="119"/>
      <c r="M114" s="2"/>
      <c r="N114" s="2"/>
      <c r="O114" s="2"/>
      <c r="P114" s="2"/>
      <c r="Q114" s="103"/>
      <c r="X114" s="2"/>
      <c r="AD114" s="2"/>
    </row>
    <row r="115" spans="1:30" ht="15">
      <c r="Q115" s="103"/>
      <c r="X115" s="2"/>
      <c r="AD115" s="2"/>
    </row>
    <row r="116" spans="1:30" ht="15">
      <c r="B116" s="6"/>
      <c r="Q116" s="103"/>
      <c r="X116" s="2"/>
      <c r="AD116" s="2"/>
    </row>
    <row r="117" spans="1:30" ht="15.75" thickBot="1">
      <c r="B117" s="85" t="s">
        <v>204</v>
      </c>
      <c r="Q117" s="103"/>
      <c r="X117" s="2"/>
      <c r="AD117" s="2"/>
    </row>
    <row r="118" spans="1:30" ht="15.75" thickTop="1">
      <c r="A118" s="310"/>
      <c r="B118" s="311"/>
      <c r="C118" s="304"/>
      <c r="Q118" s="103"/>
      <c r="X118" s="2"/>
      <c r="AD118" s="2"/>
    </row>
    <row r="119" spans="1:30" ht="15">
      <c r="A119" s="305" t="s">
        <v>197</v>
      </c>
      <c r="B119" s="351">
        <v>2.0820000000000002E-2</v>
      </c>
      <c r="C119" s="306" t="s">
        <v>198</v>
      </c>
      <c r="Q119" s="103"/>
      <c r="X119" s="2"/>
      <c r="AD119" s="2"/>
    </row>
    <row r="120" spans="1:30" ht="15">
      <c r="A120" s="305" t="s">
        <v>199</v>
      </c>
      <c r="B120" s="351">
        <v>-3.3999999999999998E-3</v>
      </c>
      <c r="C120" s="306" t="s">
        <v>200</v>
      </c>
      <c r="Q120" s="103"/>
      <c r="X120" s="2"/>
      <c r="AD120" s="2"/>
    </row>
    <row r="121" spans="1:30" ht="15">
      <c r="A121" s="305" t="s">
        <v>201</v>
      </c>
      <c r="B121" s="351">
        <v>2.23E-2</v>
      </c>
      <c r="C121" s="306" t="s">
        <v>202</v>
      </c>
      <c r="Q121" s="103"/>
      <c r="X121" s="2"/>
      <c r="AD121" s="2"/>
    </row>
    <row r="122" spans="1:30" ht="15.75" thickBot="1">
      <c r="A122" s="312"/>
      <c r="B122" s="313"/>
      <c r="C122" s="309"/>
      <c r="Q122" s="103"/>
      <c r="X122" s="2"/>
      <c r="AD122" s="2"/>
    </row>
    <row r="123" spans="1:30" ht="15.75" thickTop="1">
      <c r="Q123" s="103"/>
      <c r="X123" s="2"/>
      <c r="AD123" s="2"/>
    </row>
    <row r="124" spans="1:30" ht="15">
      <c r="Q124" s="103"/>
      <c r="X124" s="2"/>
      <c r="AD124" s="2"/>
    </row>
    <row r="125" spans="1:30" ht="15">
      <c r="B125"/>
      <c r="Q125" s="103"/>
      <c r="X125" s="2"/>
      <c r="AD125" s="2"/>
    </row>
    <row r="126" spans="1:30" ht="15">
      <c r="B126" s="97"/>
      <c r="Q126" s="103"/>
      <c r="X126" s="2"/>
      <c r="AD126" s="2"/>
    </row>
    <row r="127" spans="1:30" ht="15">
      <c r="B127" s="97"/>
      <c r="C127"/>
      <c r="Q127" s="103"/>
      <c r="X127" s="2"/>
      <c r="AD127" s="2"/>
    </row>
    <row r="128" spans="1:30" ht="15">
      <c r="B128" s="97"/>
      <c r="C128"/>
      <c r="Q128" s="103"/>
      <c r="X128" s="2"/>
      <c r="AD128" s="2"/>
    </row>
    <row r="129" spans="2:30" ht="15">
      <c r="B129" s="97"/>
      <c r="C129"/>
      <c r="Q129" s="103"/>
      <c r="X129" s="2"/>
      <c r="AD129" s="2"/>
    </row>
    <row r="130" spans="2:30" ht="15">
      <c r="Q130" s="103"/>
      <c r="X130" s="2"/>
      <c r="AD130" s="2"/>
    </row>
    <row r="131" spans="2:30" ht="15">
      <c r="Q131" s="103"/>
      <c r="X131" s="2"/>
      <c r="AD131" s="2"/>
    </row>
    <row r="132" spans="2:30" ht="15">
      <c r="B132"/>
      <c r="Q132" s="103"/>
      <c r="X132" s="2"/>
      <c r="AD132" s="2"/>
    </row>
    <row r="133" spans="2:30">
      <c r="B133"/>
      <c r="Q133" s="2"/>
      <c r="X133" s="2"/>
      <c r="AD133" s="2"/>
    </row>
    <row r="134" spans="2:30">
      <c r="B134"/>
      <c r="Q134" s="2"/>
      <c r="X134" s="2"/>
      <c r="AD134" s="2"/>
    </row>
    <row r="135" spans="2:30">
      <c r="Q135" s="2"/>
      <c r="X135" s="2"/>
      <c r="AD135" s="2"/>
    </row>
    <row r="136" spans="2:30">
      <c r="X136" s="2"/>
      <c r="AD136" s="2"/>
    </row>
  </sheetData>
  <mergeCells count="8">
    <mergeCell ref="C1:G1"/>
    <mergeCell ref="C62:L62"/>
    <mergeCell ref="C71:D71"/>
    <mergeCell ref="O71:P71"/>
    <mergeCell ref="R62:S62"/>
    <mergeCell ref="P62:Q62"/>
    <mergeCell ref="R70:T70"/>
    <mergeCell ref="A63:M63"/>
  </mergeCells>
  <phoneticPr fontId="13" type="noConversion"/>
  <pageMargins left="0.5" right="0" top="0.25" bottom="0.25" header="0" footer="0"/>
  <pageSetup paperSize="5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6C79-403E-42D6-B30D-9B0150328B9F}">
  <sheetPr>
    <pageSetUpPr fitToPage="1"/>
  </sheetPr>
  <dimension ref="A1:Q67"/>
  <sheetViews>
    <sheetView zoomScale="80" zoomScaleNormal="80" workbookViewId="0">
      <selection activeCell="J43" sqref="J43"/>
    </sheetView>
  </sheetViews>
  <sheetFormatPr defaultRowHeight="12.75"/>
  <cols>
    <col min="1" max="1" width="15.42578125" customWidth="1"/>
    <col min="2" max="2" width="11.5703125" customWidth="1"/>
    <col min="3" max="3" width="13.42578125" customWidth="1"/>
    <col min="4" max="4" width="17.5703125" customWidth="1"/>
    <col min="5" max="5" width="12.85546875" customWidth="1"/>
    <col min="7" max="7" width="14" customWidth="1"/>
    <col min="8" max="8" width="10" bestFit="1" customWidth="1"/>
    <col min="9" max="9" width="11.42578125" customWidth="1"/>
    <col min="11" max="11" width="16.42578125" customWidth="1"/>
    <col min="12" max="12" width="11.5703125" customWidth="1"/>
    <col min="13" max="13" width="13.85546875" customWidth="1"/>
    <col min="14" max="14" width="12.42578125" bestFit="1" customWidth="1"/>
    <col min="15" max="15" width="13.140625" customWidth="1"/>
    <col min="16" max="16" width="17.7109375" customWidth="1"/>
    <col min="17" max="18" width="17.140625" customWidth="1"/>
  </cols>
  <sheetData>
    <row r="1" spans="1:15" ht="18" customHeight="1" thickBot="1">
      <c r="A1" s="428" t="s">
        <v>205</v>
      </c>
      <c r="B1" s="428"/>
      <c r="C1" s="428"/>
      <c r="D1" s="428"/>
      <c r="E1" s="428"/>
      <c r="F1" s="85"/>
      <c r="G1" s="19"/>
      <c r="I1" s="120" t="s">
        <v>206</v>
      </c>
      <c r="K1" s="5"/>
      <c r="M1" s="5"/>
    </row>
    <row r="2" spans="1:15">
      <c r="I2" s="373"/>
      <c r="J2" s="461" t="s">
        <v>207</v>
      </c>
      <c r="K2" s="462"/>
      <c r="L2" s="432"/>
      <c r="M2" s="432"/>
      <c r="N2" s="432"/>
      <c r="O2" s="432"/>
    </row>
    <row r="3" spans="1:15" ht="15" thickBot="1">
      <c r="B3" s="74" t="s">
        <v>51</v>
      </c>
      <c r="C3" s="1" t="s">
        <v>52</v>
      </c>
      <c r="I3" s="374"/>
      <c r="J3" s="463" t="s">
        <v>208</v>
      </c>
      <c r="K3" s="464"/>
      <c r="L3" s="432"/>
      <c r="M3" s="426"/>
      <c r="N3" s="426"/>
      <c r="O3" s="426"/>
    </row>
    <row r="4" spans="1:15">
      <c r="C4" s="1" t="s">
        <v>53</v>
      </c>
      <c r="M4" s="160"/>
    </row>
    <row r="5" spans="1:15">
      <c r="C5" s="1" t="s">
        <v>54</v>
      </c>
    </row>
    <row r="6" spans="1:15">
      <c r="C6" s="465" t="s">
        <v>55</v>
      </c>
      <c r="D6" s="465"/>
      <c r="E6" s="465"/>
      <c r="L6" s="166"/>
    </row>
    <row r="7" spans="1:15">
      <c r="C7" s="83"/>
    </row>
    <row r="8" spans="1:15">
      <c r="C8" s="83"/>
    </row>
    <row r="9" spans="1:15">
      <c r="C9" s="83"/>
    </row>
    <row r="10" spans="1:15" ht="20.25">
      <c r="A10" s="448" t="s">
        <v>189</v>
      </c>
      <c r="B10" s="448"/>
      <c r="C10" s="448"/>
      <c r="D10" s="448"/>
    </row>
    <row r="11" spans="1:15" ht="20.25">
      <c r="B11" s="191"/>
      <c r="C11" s="191"/>
      <c r="D11" s="191"/>
    </row>
    <row r="12" spans="1:15" ht="13.5" thickBot="1">
      <c r="B12" s="428" t="s">
        <v>209</v>
      </c>
      <c r="C12" s="428"/>
    </row>
    <row r="13" spans="1:15">
      <c r="A13" s="195">
        <f>E21+E22</f>
        <v>85.924000000000007</v>
      </c>
      <c r="B13" s="188" t="s">
        <v>210</v>
      </c>
      <c r="C13" s="466" t="s">
        <v>211</v>
      </c>
      <c r="D13" s="466"/>
      <c r="E13" s="466"/>
      <c r="F13" s="466"/>
      <c r="G13" s="467"/>
      <c r="H13" s="190"/>
      <c r="I13" s="190"/>
      <c r="K13" s="157"/>
    </row>
    <row r="14" spans="1:15">
      <c r="A14" s="173"/>
      <c r="B14" s="194" t="s">
        <v>212</v>
      </c>
      <c r="C14" s="451">
        <f>E22/(E24*E24)</f>
        <v>1.4421622085213778E-7</v>
      </c>
      <c r="D14" s="451"/>
      <c r="E14" s="451"/>
      <c r="F14" s="451"/>
      <c r="G14" s="452"/>
      <c r="K14" s="158"/>
    </row>
    <row r="15" spans="1:15" ht="13.5" thickBot="1">
      <c r="A15" s="175"/>
      <c r="B15" s="193" t="s">
        <v>213</v>
      </c>
      <c r="C15" s="449">
        <f>E21</f>
        <v>19.167000000000002</v>
      </c>
      <c r="D15" s="449"/>
      <c r="E15" s="449"/>
      <c r="F15" s="449"/>
      <c r="G15" s="450"/>
    </row>
    <row r="17" spans="1:17">
      <c r="A17" s="1"/>
      <c r="B17" s="1"/>
      <c r="C17" s="1"/>
      <c r="D17" s="167"/>
      <c r="E17" s="73"/>
      <c r="F17" s="184"/>
      <c r="G17" s="5"/>
      <c r="H17" s="5"/>
      <c r="I17" s="5"/>
      <c r="J17" s="5"/>
    </row>
    <row r="18" spans="1:17" ht="13.5" thickBot="1">
      <c r="A18" s="6"/>
      <c r="B18" s="447" t="s">
        <v>214</v>
      </c>
      <c r="C18" s="447"/>
      <c r="D18" s="156"/>
      <c r="E18" s="156"/>
    </row>
    <row r="19" spans="1:17">
      <c r="A19" s="292"/>
      <c r="B19" s="293">
        <v>2024</v>
      </c>
      <c r="C19" s="270" t="s">
        <v>215</v>
      </c>
      <c r="D19" s="294">
        <v>2025</v>
      </c>
      <c r="E19" s="270"/>
      <c r="F19" s="294"/>
      <c r="G19" s="295"/>
      <c r="H19" s="159"/>
    </row>
    <row r="20" spans="1:17">
      <c r="A20" s="239"/>
      <c r="B20" s="240"/>
      <c r="C20" s="240"/>
      <c r="D20" s="241"/>
      <c r="E20" s="242"/>
      <c r="F20" s="238"/>
      <c r="G20" s="243"/>
      <c r="H20" s="159"/>
    </row>
    <row r="21" spans="1:17">
      <c r="A21" s="455" t="s">
        <v>216</v>
      </c>
      <c r="B21" s="456"/>
      <c r="C21" s="456"/>
      <c r="D21" s="456"/>
      <c r="E21" s="244">
        <v>19.167000000000002</v>
      </c>
      <c r="F21" s="240"/>
      <c r="G21" s="243"/>
      <c r="H21" s="157"/>
    </row>
    <row r="22" spans="1:17">
      <c r="A22" s="453" t="s">
        <v>217</v>
      </c>
      <c r="B22" s="454"/>
      <c r="C22" s="454"/>
      <c r="D22" s="454"/>
      <c r="E22" s="244">
        <v>66.757000000000005</v>
      </c>
      <c r="F22" s="240"/>
      <c r="G22" s="243"/>
      <c r="H22" s="159"/>
      <c r="M22" s="5"/>
    </row>
    <row r="23" spans="1:17">
      <c r="A23" s="453" t="s">
        <v>218</v>
      </c>
      <c r="B23" s="454"/>
      <c r="C23" s="454"/>
      <c r="D23" s="454"/>
      <c r="E23" s="328">
        <f>E21+E22</f>
        <v>85.924000000000007</v>
      </c>
      <c r="F23" s="240"/>
      <c r="G23" s="243"/>
      <c r="H23" s="159"/>
      <c r="M23" s="5"/>
    </row>
    <row r="24" spans="1:17" ht="13.5" thickBot="1">
      <c r="A24" s="457" t="s">
        <v>219</v>
      </c>
      <c r="B24" s="458"/>
      <c r="C24" s="458"/>
      <c r="D24" s="458"/>
      <c r="E24" s="333">
        <v>21515</v>
      </c>
      <c r="F24" s="245"/>
      <c r="G24" s="246"/>
      <c r="H24" s="157"/>
    </row>
    <row r="25" spans="1:17">
      <c r="A25" s="1"/>
      <c r="C25" s="2"/>
      <c r="D25" s="73"/>
      <c r="E25" s="124"/>
      <c r="F25" s="124"/>
      <c r="H25" s="161"/>
    </row>
    <row r="26" spans="1:17" ht="12.75" customHeight="1">
      <c r="A26" s="1"/>
      <c r="C26" s="2"/>
      <c r="D26" s="73"/>
      <c r="E26" s="124"/>
      <c r="F26" s="124"/>
      <c r="H26" s="161"/>
    </row>
    <row r="27" spans="1:17" ht="12.75" customHeight="1">
      <c r="A27" s="1"/>
      <c r="C27" s="2"/>
      <c r="D27" s="73"/>
      <c r="E27" s="124"/>
      <c r="F27" s="124"/>
      <c r="H27" s="161"/>
    </row>
    <row r="28" spans="1:17">
      <c r="A28" s="1"/>
      <c r="C28" s="2"/>
      <c r="D28" s="73"/>
      <c r="E28" s="124"/>
      <c r="F28" s="124"/>
      <c r="H28" s="161"/>
    </row>
    <row r="29" spans="1:17">
      <c r="A29" s="1"/>
      <c r="B29" s="5"/>
      <c r="C29" s="2"/>
      <c r="D29" s="73"/>
      <c r="E29" s="124"/>
      <c r="F29" s="124"/>
      <c r="H29" s="161"/>
    </row>
    <row r="30" spans="1:17" ht="20.25">
      <c r="A30" s="448" t="s">
        <v>191</v>
      </c>
      <c r="B30" s="448"/>
      <c r="C30" s="448"/>
      <c r="D30" s="448"/>
    </row>
    <row r="31" spans="1:17" ht="16.5" customHeight="1">
      <c r="B31" s="74"/>
      <c r="C31" s="82"/>
      <c r="K31" s="5"/>
      <c r="L31" s="5"/>
      <c r="M31" s="5"/>
      <c r="N31" s="5"/>
      <c r="O31" s="189"/>
      <c r="P31" s="5"/>
      <c r="Q31" s="5"/>
    </row>
    <row r="32" spans="1:17" ht="13.5" thickBot="1">
      <c r="B32" s="428" t="s">
        <v>209</v>
      </c>
      <c r="C32" s="428"/>
      <c r="K32" s="5"/>
    </row>
    <row r="33" spans="1:17">
      <c r="A33" s="170">
        <f>E41+E42</f>
        <v>272.51900000000001</v>
      </c>
      <c r="B33" s="188" t="s">
        <v>210</v>
      </c>
      <c r="C33" s="468" t="s">
        <v>220</v>
      </c>
      <c r="D33" s="468"/>
      <c r="E33" s="468"/>
      <c r="F33" s="468"/>
      <c r="G33" s="478"/>
      <c r="K33" s="156"/>
      <c r="L33" s="156"/>
      <c r="M33" s="156"/>
      <c r="N33" s="156"/>
      <c r="O33" s="156"/>
      <c r="P33" s="156"/>
      <c r="Q33" s="84"/>
    </row>
    <row r="34" spans="1:17">
      <c r="A34" s="173"/>
      <c r="B34" s="194" t="s">
        <v>212</v>
      </c>
      <c r="C34" s="459">
        <f>(E42)/(E44*E44)</f>
        <v>3.5788521477410472E-7</v>
      </c>
      <c r="D34" s="459"/>
      <c r="E34" s="177"/>
      <c r="F34" s="177"/>
      <c r="G34" s="178"/>
    </row>
    <row r="35" spans="1:17" ht="13.5" thickBot="1">
      <c r="A35" s="179"/>
      <c r="B35" s="193" t="s">
        <v>213</v>
      </c>
      <c r="C35" s="460">
        <f>E41</f>
        <v>173.10400000000001</v>
      </c>
      <c r="D35" s="460"/>
      <c r="E35" s="192"/>
      <c r="F35" s="192"/>
      <c r="G35" s="180"/>
      <c r="M35" s="161"/>
    </row>
    <row r="36" spans="1:17">
      <c r="M36" s="162"/>
    </row>
    <row r="37" spans="1:17">
      <c r="C37" s="5"/>
      <c r="M37" s="161"/>
    </row>
    <row r="38" spans="1:17" ht="13.5" thickBot="1">
      <c r="B38" s="447" t="s">
        <v>214</v>
      </c>
      <c r="C38" s="447"/>
      <c r="D38" s="156"/>
      <c r="E38" s="6"/>
      <c r="F38" s="187"/>
      <c r="G38" s="1"/>
      <c r="H38" s="1"/>
      <c r="M38" s="161"/>
    </row>
    <row r="39" spans="1:17">
      <c r="A39" s="296"/>
      <c r="B39" s="316">
        <f>B19</f>
        <v>2024</v>
      </c>
      <c r="C39" s="270" t="s">
        <v>215</v>
      </c>
      <c r="D39" s="316">
        <f>D19</f>
        <v>2025</v>
      </c>
      <c r="E39" s="297"/>
      <c r="F39" s="297"/>
      <c r="G39" s="298"/>
      <c r="H39" s="161"/>
      <c r="I39" s="161"/>
      <c r="M39" s="161"/>
    </row>
    <row r="40" spans="1:17">
      <c r="A40" s="237"/>
      <c r="B40" s="240"/>
      <c r="C40" s="247"/>
      <c r="D40" s="240"/>
      <c r="E40" s="248"/>
      <c r="F40" s="248"/>
      <c r="G40" s="249"/>
      <c r="H40" s="5"/>
      <c r="I40" s="189"/>
      <c r="J40" s="5"/>
      <c r="K40" s="5"/>
      <c r="M40" s="168"/>
    </row>
    <row r="41" spans="1:17">
      <c r="A41" s="453" t="s">
        <v>221</v>
      </c>
      <c r="B41" s="454"/>
      <c r="C41" s="454"/>
      <c r="D41" s="454"/>
      <c r="E41" s="258">
        <v>173.10400000000001</v>
      </c>
      <c r="F41" s="240"/>
      <c r="G41" s="259"/>
      <c r="M41" s="161"/>
    </row>
    <row r="42" spans="1:17">
      <c r="A42" s="453" t="s">
        <v>222</v>
      </c>
      <c r="B42" s="469"/>
      <c r="C42" s="469"/>
      <c r="D42" s="469"/>
      <c r="E42" s="258">
        <v>99.415000000000006</v>
      </c>
      <c r="F42" s="258"/>
      <c r="G42" s="260"/>
      <c r="H42" s="1"/>
      <c r="I42" s="156"/>
      <c r="J42" s="156"/>
      <c r="K42" s="84"/>
      <c r="M42" s="161"/>
    </row>
    <row r="43" spans="1:17">
      <c r="A43" s="453" t="s">
        <v>218</v>
      </c>
      <c r="B43" s="454"/>
      <c r="C43" s="454"/>
      <c r="D43" s="454"/>
      <c r="E43" s="329">
        <f>E41+E42</f>
        <v>272.51900000000001</v>
      </c>
      <c r="F43" s="258"/>
      <c r="G43" s="260"/>
      <c r="H43" s="1"/>
      <c r="I43" s="156"/>
      <c r="J43" s="156"/>
      <c r="K43" s="84"/>
      <c r="M43" s="161"/>
    </row>
    <row r="44" spans="1:17" ht="15.75" thickBot="1">
      <c r="A44" s="457" t="s">
        <v>223</v>
      </c>
      <c r="B44" s="458"/>
      <c r="C44" s="458"/>
      <c r="D44" s="458"/>
      <c r="E44" s="261">
        <f>'2) Loss Analysis'!K57</f>
        <v>16666.871228809759</v>
      </c>
      <c r="F44" s="245"/>
      <c r="G44" s="262"/>
      <c r="I44" s="169"/>
      <c r="M44" s="161"/>
    </row>
    <row r="45" spans="1:17" ht="15">
      <c r="A45" s="133"/>
      <c r="B45" s="133"/>
      <c r="C45" s="133"/>
      <c r="D45" s="133"/>
      <c r="E45" s="204"/>
      <c r="G45" s="204"/>
      <c r="I45" s="169"/>
      <c r="M45" s="161"/>
    </row>
    <row r="46" spans="1:17" ht="15">
      <c r="A46" s="133"/>
      <c r="B46" s="133"/>
      <c r="C46" s="133"/>
      <c r="D46" s="133"/>
      <c r="E46" s="204"/>
      <c r="G46" s="204"/>
      <c r="I46" s="169"/>
      <c r="M46" s="161"/>
    </row>
    <row r="47" spans="1:17" ht="15">
      <c r="A47" s="133"/>
      <c r="B47" s="133"/>
      <c r="C47" s="133"/>
      <c r="D47" s="133"/>
      <c r="E47" s="204"/>
      <c r="G47" s="204"/>
      <c r="I47" s="169"/>
      <c r="M47" s="161"/>
    </row>
    <row r="48" spans="1:17">
      <c r="C48" s="108"/>
      <c r="M48" s="161"/>
    </row>
    <row r="49" spans="1:13" ht="13.5" thickBot="1">
      <c r="B49" s="447" t="s">
        <v>224</v>
      </c>
      <c r="C49" s="447"/>
      <c r="M49" s="161"/>
    </row>
    <row r="50" spans="1:13">
      <c r="A50" s="471" t="s">
        <v>225</v>
      </c>
      <c r="B50" s="468"/>
      <c r="C50" s="171"/>
      <c r="D50" s="196"/>
      <c r="E50" s="197"/>
      <c r="F50" s="197"/>
      <c r="G50" s="172"/>
      <c r="M50" s="161"/>
    </row>
    <row r="51" spans="1:13">
      <c r="A51" s="181"/>
      <c r="B51" s="174" t="s">
        <v>212</v>
      </c>
      <c r="C51" s="198">
        <v>1.1394000000000001E-6</v>
      </c>
      <c r="D51" s="199"/>
      <c r="E51" s="200"/>
      <c r="F51" s="200"/>
      <c r="G51" s="178"/>
      <c r="M51" s="161"/>
    </row>
    <row r="52" spans="1:13" ht="13.5" thickBot="1">
      <c r="A52" s="179"/>
      <c r="B52" s="176" t="s">
        <v>213</v>
      </c>
      <c r="C52" s="201">
        <v>0</v>
      </c>
      <c r="D52" s="202"/>
      <c r="E52" s="203"/>
      <c r="F52" s="203"/>
      <c r="G52" s="180"/>
      <c r="M52" s="161"/>
    </row>
    <row r="53" spans="1:13">
      <c r="E53" s="125"/>
      <c r="M53" s="161"/>
    </row>
    <row r="54" spans="1:13" ht="13.5" thickBot="1">
      <c r="M54" s="161"/>
    </row>
    <row r="55" spans="1:13">
      <c r="A55" s="471" t="s">
        <v>226</v>
      </c>
      <c r="B55" s="468"/>
      <c r="C55" s="171"/>
      <c r="D55" s="171"/>
      <c r="E55" s="171"/>
      <c r="F55" s="171"/>
      <c r="G55" s="172"/>
      <c r="M55" s="161"/>
    </row>
    <row r="56" spans="1:13">
      <c r="A56" s="181"/>
      <c r="B56" s="174" t="s">
        <v>212</v>
      </c>
      <c r="C56" s="182">
        <v>3.5446000000000001E-7</v>
      </c>
      <c r="D56" s="177"/>
      <c r="E56" s="177"/>
      <c r="F56" s="177"/>
      <c r="G56" s="178"/>
    </row>
    <row r="57" spans="1:13" ht="13.5" thickBot="1">
      <c r="A57" s="179"/>
      <c r="B57" s="176" t="s">
        <v>213</v>
      </c>
      <c r="C57" s="183">
        <v>0</v>
      </c>
      <c r="D57" s="192"/>
      <c r="E57" s="192"/>
      <c r="F57" s="192"/>
      <c r="G57" s="180"/>
    </row>
    <row r="62" spans="1:13">
      <c r="C62" s="470"/>
      <c r="D62" s="470"/>
      <c r="E62" s="470"/>
      <c r="F62" s="470"/>
      <c r="G62" s="470"/>
      <c r="H62" s="470"/>
      <c r="I62" s="470"/>
    </row>
    <row r="65" spans="6:6">
      <c r="F65" s="5"/>
    </row>
    <row r="66" spans="6:6">
      <c r="F66" s="5"/>
    </row>
    <row r="67" spans="6:6">
      <c r="F67" s="5"/>
    </row>
  </sheetData>
  <mergeCells count="30">
    <mergeCell ref="A42:D42"/>
    <mergeCell ref="A41:D41"/>
    <mergeCell ref="A44:D44"/>
    <mergeCell ref="C62:I62"/>
    <mergeCell ref="A50:B50"/>
    <mergeCell ref="B49:C49"/>
    <mergeCell ref="A55:B55"/>
    <mergeCell ref="A43:D43"/>
    <mergeCell ref="A1:E1"/>
    <mergeCell ref="C6:E6"/>
    <mergeCell ref="B12:C12"/>
    <mergeCell ref="C13:G13"/>
    <mergeCell ref="C33:G33"/>
    <mergeCell ref="A23:D23"/>
    <mergeCell ref="L2:O2"/>
    <mergeCell ref="L3:O3"/>
    <mergeCell ref="B38:C38"/>
    <mergeCell ref="A10:D10"/>
    <mergeCell ref="C15:G15"/>
    <mergeCell ref="C14:G14"/>
    <mergeCell ref="A22:D22"/>
    <mergeCell ref="A21:D21"/>
    <mergeCell ref="A24:D24"/>
    <mergeCell ref="B18:C18"/>
    <mergeCell ref="A30:D30"/>
    <mergeCell ref="B32:C32"/>
    <mergeCell ref="C34:D34"/>
    <mergeCell ref="C35:D35"/>
    <mergeCell ref="J2:K2"/>
    <mergeCell ref="J3:K3"/>
  </mergeCells>
  <phoneticPr fontId="13" type="noConversion"/>
  <pageMargins left="0.25" right="0.25" top="0.75" bottom="0.75" header="0" footer="0"/>
  <pageSetup scale="9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2D353-D773-4EB6-BEA6-A1CEE9E1D228}">
  <dimension ref="B3:S29"/>
  <sheetViews>
    <sheetView zoomScale="80" zoomScaleNormal="80" workbookViewId="0">
      <selection activeCell="Q23" sqref="Q23"/>
    </sheetView>
  </sheetViews>
  <sheetFormatPr defaultRowHeight="12.75"/>
  <cols>
    <col min="2" max="2" width="11.85546875" customWidth="1"/>
    <col min="3" max="3" width="12.85546875" customWidth="1"/>
    <col min="8" max="8" width="29.28515625" customWidth="1"/>
    <col min="9" max="9" width="22.140625" customWidth="1"/>
    <col min="11" max="11" width="10.42578125" bestFit="1" customWidth="1"/>
    <col min="15" max="15" width="12.42578125" bestFit="1" customWidth="1"/>
    <col min="17" max="17" width="10.42578125" bestFit="1" customWidth="1"/>
  </cols>
  <sheetData>
    <row r="3" spans="2:19">
      <c r="B3" t="s">
        <v>171</v>
      </c>
      <c r="F3" s="2"/>
      <c r="H3" s="88" t="s">
        <v>189</v>
      </c>
      <c r="I3" s="186"/>
      <c r="J3" s="88" t="s">
        <v>190</v>
      </c>
      <c r="K3" s="6"/>
      <c r="L3" s="6"/>
      <c r="M3" s="6"/>
      <c r="N3" s="88" t="s">
        <v>191</v>
      </c>
      <c r="O3" s="88"/>
      <c r="P3" s="88" t="s">
        <v>192</v>
      </c>
      <c r="Q3" s="6"/>
      <c r="R3" s="2"/>
      <c r="S3" s="393"/>
    </row>
    <row r="4" spans="2:19">
      <c r="F4" s="2"/>
      <c r="H4" s="46" t="s">
        <v>110</v>
      </c>
      <c r="I4" s="101" t="s">
        <v>111</v>
      </c>
      <c r="J4" s="46" t="s">
        <v>110</v>
      </c>
      <c r="K4" s="101" t="s">
        <v>111</v>
      </c>
      <c r="L4" s="28"/>
      <c r="M4" s="29"/>
      <c r="N4" s="33" t="s">
        <v>110</v>
      </c>
      <c r="O4" s="34" t="s">
        <v>111</v>
      </c>
      <c r="P4" s="33" t="s">
        <v>110</v>
      </c>
      <c r="Q4" s="34" t="s">
        <v>111</v>
      </c>
    </row>
    <row r="5" spans="2:19">
      <c r="B5" s="2" t="s">
        <v>227</v>
      </c>
      <c r="C5" s="2" t="s">
        <v>228</v>
      </c>
      <c r="F5" s="473" t="s">
        <v>229</v>
      </c>
      <c r="G5" s="473"/>
      <c r="H5" s="375">
        <v>19.385000000000002</v>
      </c>
      <c r="I5" s="394">
        <v>1.4196300000000001E-7</v>
      </c>
      <c r="J5" s="372">
        <v>0</v>
      </c>
      <c r="K5" s="395">
        <v>1.13939E-6</v>
      </c>
      <c r="L5" s="372"/>
      <c r="M5" s="372"/>
      <c r="N5" s="396">
        <v>172.13</v>
      </c>
      <c r="O5" s="397">
        <v>3.6351699999999999E-7</v>
      </c>
      <c r="P5" s="398">
        <v>0</v>
      </c>
      <c r="Q5" s="359">
        <v>3.5446000000000001E-7</v>
      </c>
      <c r="R5" s="474" t="s">
        <v>230</v>
      </c>
      <c r="S5" s="473"/>
    </row>
    <row r="6" spans="2:19">
      <c r="B6" s="2">
        <v>2024</v>
      </c>
      <c r="C6" s="2" t="s">
        <v>231</v>
      </c>
      <c r="F6" s="432" t="s">
        <v>232</v>
      </c>
      <c r="G6" s="432"/>
      <c r="H6" s="355">
        <v>35.15</v>
      </c>
      <c r="I6" s="356">
        <v>3.3233800000000001E-8</v>
      </c>
      <c r="J6" s="267">
        <v>0</v>
      </c>
      <c r="K6" s="399">
        <v>1.13939E-6</v>
      </c>
      <c r="L6" s="73"/>
      <c r="M6" s="73"/>
      <c r="N6" s="109">
        <v>170.54499999999999</v>
      </c>
      <c r="O6" s="354">
        <v>3.6359900000000003E-7</v>
      </c>
      <c r="P6" s="263">
        <v>0</v>
      </c>
      <c r="Q6" s="122">
        <v>3.5446000000000001E-7</v>
      </c>
      <c r="R6" s="475" t="s">
        <v>233</v>
      </c>
      <c r="S6" s="432"/>
    </row>
    <row r="7" spans="2:19">
      <c r="B7" s="2">
        <v>2023</v>
      </c>
      <c r="C7" s="2" t="s">
        <v>234</v>
      </c>
      <c r="F7" s="432" t="s">
        <v>235</v>
      </c>
      <c r="G7" s="432"/>
      <c r="H7" s="355">
        <v>18.690999999999999</v>
      </c>
      <c r="I7" s="356">
        <v>1.78762E-7</v>
      </c>
      <c r="J7" s="267">
        <v>0</v>
      </c>
      <c r="K7" s="399">
        <v>1.13939E-6</v>
      </c>
      <c r="L7" s="73"/>
      <c r="M7" s="73"/>
      <c r="N7" s="109">
        <v>166.81200000000001</v>
      </c>
      <c r="O7" s="354">
        <v>3.7274199999999999E-7</v>
      </c>
      <c r="P7" s="263">
        <v>0</v>
      </c>
      <c r="Q7" s="122">
        <v>3.5446000000000001E-7</v>
      </c>
      <c r="R7" s="475" t="s">
        <v>236</v>
      </c>
      <c r="S7" s="432"/>
    </row>
    <row r="8" spans="2:19">
      <c r="B8" s="2">
        <f>B7-1</f>
        <v>2022</v>
      </c>
      <c r="C8" s="2" t="s">
        <v>237</v>
      </c>
      <c r="F8" s="432" t="s">
        <v>238</v>
      </c>
      <c r="G8" s="432"/>
      <c r="H8" s="355">
        <v>18.826000000000001</v>
      </c>
      <c r="I8" s="356">
        <v>1.8189900000000001E-7</v>
      </c>
      <c r="J8" s="267">
        <v>0</v>
      </c>
      <c r="K8" s="399">
        <v>1.13939E-6</v>
      </c>
      <c r="L8" s="73"/>
      <c r="M8" s="73"/>
      <c r="N8" s="109">
        <v>164.11799999999999</v>
      </c>
      <c r="O8" s="354">
        <v>3.8579000000000002E-7</v>
      </c>
      <c r="P8" s="263">
        <v>0</v>
      </c>
      <c r="Q8" s="122">
        <v>3.5446000000000001E-7</v>
      </c>
      <c r="R8" s="475" t="s">
        <v>239</v>
      </c>
      <c r="S8" s="432"/>
    </row>
    <row r="9" spans="2:19">
      <c r="B9" s="2">
        <f t="shared" ref="B9:B19" si="0">B8-1</f>
        <v>2021</v>
      </c>
      <c r="C9" s="2" t="s">
        <v>240</v>
      </c>
      <c r="F9" s="432" t="s">
        <v>241</v>
      </c>
      <c r="G9" s="432"/>
      <c r="H9" s="344">
        <v>18.728000000000002</v>
      </c>
      <c r="I9" s="356">
        <v>1.8617699999999999E-7</v>
      </c>
      <c r="J9" s="267">
        <v>0</v>
      </c>
      <c r="K9" s="399">
        <v>1.13939E-6</v>
      </c>
      <c r="L9" s="334"/>
      <c r="M9" s="335"/>
      <c r="N9" s="109">
        <v>162.10499999999999</v>
      </c>
      <c r="O9" s="122">
        <v>3.8581399999999999E-7</v>
      </c>
      <c r="P9" s="263">
        <v>0</v>
      </c>
      <c r="Q9" s="122">
        <v>3.5446000000000001E-7</v>
      </c>
      <c r="R9" s="475" t="s">
        <v>242</v>
      </c>
      <c r="S9" s="432"/>
    </row>
    <row r="10" spans="2:19">
      <c r="B10" s="2">
        <f t="shared" si="0"/>
        <v>2020</v>
      </c>
      <c r="C10" s="2" t="s">
        <v>243</v>
      </c>
      <c r="F10" s="432" t="s">
        <v>244</v>
      </c>
      <c r="G10" s="432"/>
      <c r="H10" s="344">
        <v>18.007999999999999</v>
      </c>
      <c r="I10" s="356">
        <v>1.8612300000000001E-7</v>
      </c>
      <c r="J10" s="267">
        <v>0</v>
      </c>
      <c r="K10" s="399">
        <v>1.13939E-6</v>
      </c>
      <c r="L10" s="334"/>
      <c r="M10" s="335"/>
      <c r="N10" s="109">
        <v>159.98599999999999</v>
      </c>
      <c r="O10" s="122">
        <v>3.9124499999999998E-7</v>
      </c>
      <c r="P10" s="263">
        <v>0</v>
      </c>
      <c r="Q10" s="122">
        <v>3.5446000000000001E-7</v>
      </c>
      <c r="R10" s="475" t="s">
        <v>245</v>
      </c>
      <c r="S10" s="432"/>
    </row>
    <row r="11" spans="2:19">
      <c r="B11" s="2">
        <f t="shared" si="0"/>
        <v>2019</v>
      </c>
      <c r="C11" s="2" t="s">
        <v>246</v>
      </c>
      <c r="F11" s="432" t="s">
        <v>247</v>
      </c>
      <c r="G11" s="432"/>
      <c r="H11" s="344">
        <v>18.568999999999999</v>
      </c>
      <c r="I11" s="89">
        <v>1.72417E-7</v>
      </c>
      <c r="J11" s="267">
        <v>0</v>
      </c>
      <c r="K11" s="399">
        <f>K15</f>
        <v>1.13939E-6</v>
      </c>
      <c r="L11" s="73"/>
      <c r="M11" s="73"/>
      <c r="N11" s="109">
        <v>156.72399999999999</v>
      </c>
      <c r="O11" s="122">
        <v>4.00532E-7</v>
      </c>
      <c r="P11" s="263">
        <f>P15</f>
        <v>0</v>
      </c>
      <c r="Q11" s="122">
        <f>Q15</f>
        <v>3.5446000000000001E-7</v>
      </c>
      <c r="R11" s="475" t="s">
        <v>248</v>
      </c>
      <c r="S11" s="432"/>
    </row>
    <row r="12" spans="2:19">
      <c r="B12" s="2">
        <f t="shared" si="0"/>
        <v>2018</v>
      </c>
      <c r="C12" s="2" t="s">
        <v>249</v>
      </c>
      <c r="F12" s="432" t="s">
        <v>250</v>
      </c>
      <c r="G12" s="432"/>
      <c r="H12" s="344">
        <v>18.268000000000001</v>
      </c>
      <c r="I12" s="89">
        <v>1.7761699999999999E-7</v>
      </c>
      <c r="J12" s="267">
        <v>0</v>
      </c>
      <c r="K12" s="399">
        <f>K16</f>
        <v>1.13939E-6</v>
      </c>
      <c r="L12" s="185"/>
      <c r="M12" s="185"/>
      <c r="N12" s="109">
        <v>152.21199999999999</v>
      </c>
      <c r="O12" s="122">
        <v>4.0973299999999998E-7</v>
      </c>
      <c r="P12" s="263">
        <f>P16</f>
        <v>0</v>
      </c>
      <c r="Q12" s="127">
        <f>Q16</f>
        <v>3.5446000000000001E-7</v>
      </c>
      <c r="R12" s="475" t="s">
        <v>251</v>
      </c>
      <c r="S12" s="432"/>
    </row>
    <row r="13" spans="2:19">
      <c r="B13" s="2">
        <f t="shared" si="0"/>
        <v>2017</v>
      </c>
      <c r="C13" s="2" t="s">
        <v>252</v>
      </c>
      <c r="F13" s="472" t="s">
        <v>253</v>
      </c>
      <c r="G13" s="472"/>
      <c r="H13" s="344">
        <v>20.635392</v>
      </c>
      <c r="I13" s="73">
        <v>1.8059E-7</v>
      </c>
      <c r="J13" s="267">
        <v>0</v>
      </c>
      <c r="K13" s="400">
        <v>1.13939E-6</v>
      </c>
      <c r="L13" s="116"/>
      <c r="M13" s="116"/>
      <c r="N13" s="121">
        <v>149.17500000000001</v>
      </c>
      <c r="O13" s="121">
        <v>4.2040500000000001E-7</v>
      </c>
      <c r="P13" s="264">
        <v>0</v>
      </c>
      <c r="Q13" s="130">
        <v>3.5446000000000001E-7</v>
      </c>
      <c r="R13" s="476" t="s">
        <v>254</v>
      </c>
      <c r="S13" s="472"/>
    </row>
    <row r="14" spans="2:19">
      <c r="B14" s="2">
        <f t="shared" si="0"/>
        <v>2016</v>
      </c>
      <c r="C14" s="2" t="s">
        <v>255</v>
      </c>
      <c r="F14" s="472" t="s">
        <v>256</v>
      </c>
      <c r="G14" s="472"/>
      <c r="H14" s="344">
        <v>20.867000000000001</v>
      </c>
      <c r="I14" s="89">
        <v>1.7797E-7</v>
      </c>
      <c r="J14" s="343">
        <v>0</v>
      </c>
      <c r="K14" s="400">
        <v>1.13939E-6</v>
      </c>
      <c r="L14" s="116"/>
      <c r="M14" s="116"/>
      <c r="N14" s="121">
        <v>145.38999999999999</v>
      </c>
      <c r="O14" s="128">
        <v>4.3561400000000003E-7</v>
      </c>
      <c r="P14" s="265">
        <v>0</v>
      </c>
      <c r="Q14" s="130">
        <v>3.5446000000000001E-7</v>
      </c>
      <c r="R14" s="476" t="s">
        <v>257</v>
      </c>
      <c r="S14" s="472"/>
    </row>
    <row r="15" spans="2:19">
      <c r="B15" s="2">
        <f t="shared" si="0"/>
        <v>2015</v>
      </c>
      <c r="C15" s="2" t="s">
        <v>258</v>
      </c>
      <c r="F15" s="472" t="s">
        <v>259</v>
      </c>
      <c r="G15" s="472"/>
      <c r="H15" s="345">
        <v>19.863</v>
      </c>
      <c r="I15" s="401">
        <v>1.8930000000000001E-7</v>
      </c>
      <c r="J15" s="343">
        <v>0</v>
      </c>
      <c r="K15" s="400">
        <v>1.13939E-6</v>
      </c>
      <c r="L15" s="146"/>
      <c r="M15" s="146"/>
      <c r="N15" s="129">
        <v>142.346</v>
      </c>
      <c r="O15" s="131">
        <v>4.4855700000000001E-7</v>
      </c>
      <c r="P15" s="265">
        <v>0</v>
      </c>
      <c r="Q15" s="130">
        <v>3.5446000000000001E-7</v>
      </c>
      <c r="R15" s="476" t="s">
        <v>260</v>
      </c>
      <c r="S15" s="472"/>
    </row>
    <row r="16" spans="2:19">
      <c r="B16" s="2">
        <f t="shared" si="0"/>
        <v>2014</v>
      </c>
      <c r="C16" s="2" t="s">
        <v>261</v>
      </c>
      <c r="F16" s="432" t="s">
        <v>262</v>
      </c>
      <c r="G16" s="432"/>
      <c r="H16" s="346">
        <v>19.472999999999999</v>
      </c>
      <c r="I16" s="89">
        <v>1.9548E-7</v>
      </c>
      <c r="J16" s="267">
        <v>0</v>
      </c>
      <c r="K16" s="399">
        <f>K17</f>
        <v>1.13939E-6</v>
      </c>
      <c r="L16" s="73"/>
      <c r="M16" s="73"/>
      <c r="N16" s="121">
        <v>137.751</v>
      </c>
      <c r="O16" s="128">
        <v>4.7390599999999998E-7</v>
      </c>
      <c r="P16" s="263">
        <f>P17</f>
        <v>0</v>
      </c>
      <c r="Q16" s="127">
        <f>Q17</f>
        <v>3.5446000000000001E-7</v>
      </c>
      <c r="R16" s="475" t="s">
        <v>263</v>
      </c>
      <c r="S16" s="432"/>
    </row>
    <row r="17" spans="2:19">
      <c r="B17" s="2">
        <f t="shared" si="0"/>
        <v>2013</v>
      </c>
      <c r="C17" s="2" t="s">
        <v>264</v>
      </c>
      <c r="F17" s="432" t="s">
        <v>265</v>
      </c>
      <c r="G17" s="432"/>
      <c r="H17" s="344">
        <v>21.111757000000001</v>
      </c>
      <c r="I17" s="89">
        <v>1.8286200000000001E-7</v>
      </c>
      <c r="J17" s="267">
        <v>0</v>
      </c>
      <c r="K17" s="399">
        <f>K18</f>
        <v>1.13939E-6</v>
      </c>
      <c r="L17" s="5"/>
      <c r="M17" s="5"/>
      <c r="N17" s="121">
        <v>133.98599999999999</v>
      </c>
      <c r="O17" s="122">
        <v>5.0406999999999999E-7</v>
      </c>
      <c r="P17" s="263">
        <f>P18</f>
        <v>0</v>
      </c>
      <c r="Q17" s="127">
        <f>Q18</f>
        <v>3.5446000000000001E-7</v>
      </c>
      <c r="R17" s="475" t="s">
        <v>266</v>
      </c>
      <c r="S17" s="432"/>
    </row>
    <row r="18" spans="2:19">
      <c r="B18" s="2">
        <f t="shared" si="0"/>
        <v>2012</v>
      </c>
      <c r="C18" s="2" t="s">
        <v>267</v>
      </c>
      <c r="F18" s="432" t="s">
        <v>268</v>
      </c>
      <c r="G18" s="432"/>
      <c r="H18" s="344">
        <v>20.312000000000001</v>
      </c>
      <c r="I18" s="73">
        <v>1.9194305998780883E-7</v>
      </c>
      <c r="J18" s="267">
        <v>0</v>
      </c>
      <c r="K18" s="399">
        <f>K19</f>
        <v>1.13939E-6</v>
      </c>
      <c r="L18" s="73"/>
      <c r="M18" s="5"/>
      <c r="N18" s="121">
        <v>130.79400000000001</v>
      </c>
      <c r="O18" s="122">
        <v>5.0410086929281849E-7</v>
      </c>
      <c r="P18" s="263">
        <v>0</v>
      </c>
      <c r="Q18" s="127">
        <v>3.5446000000000001E-7</v>
      </c>
      <c r="R18" s="475" t="s">
        <v>269</v>
      </c>
      <c r="S18" s="432"/>
    </row>
    <row r="19" spans="2:19">
      <c r="B19" s="2">
        <f t="shared" si="0"/>
        <v>2011</v>
      </c>
      <c r="C19" s="2" t="s">
        <v>270</v>
      </c>
      <c r="F19" s="432" t="s">
        <v>271</v>
      </c>
      <c r="G19" s="432"/>
      <c r="H19" s="347">
        <f>H20</f>
        <v>18.585999999999999</v>
      </c>
      <c r="I19" s="89">
        <f>I20</f>
        <v>2.1299999999999999E-7</v>
      </c>
      <c r="J19" s="267">
        <f>J20</f>
        <v>0</v>
      </c>
      <c r="K19" s="399">
        <f>K20</f>
        <v>1.13939E-6</v>
      </c>
      <c r="L19" s="15"/>
      <c r="M19" s="15"/>
      <c r="N19" s="109">
        <f>N20</f>
        <v>120.235</v>
      </c>
      <c r="O19" s="122">
        <f>O20</f>
        <v>5.1389999999999996E-7</v>
      </c>
      <c r="P19" s="263">
        <f>P20</f>
        <v>0</v>
      </c>
      <c r="Q19" s="127">
        <f>Q20</f>
        <v>3.5446000000000001E-7</v>
      </c>
      <c r="R19" s="475" t="s">
        <v>272</v>
      </c>
      <c r="S19" s="432"/>
    </row>
    <row r="20" spans="2:19" ht="13.5" thickBot="1">
      <c r="F20" s="426" t="s">
        <v>273</v>
      </c>
      <c r="G20" s="426"/>
      <c r="H20" s="348">
        <f>H26</f>
        <v>18.585999999999999</v>
      </c>
      <c r="I20" s="402">
        <f>I26</f>
        <v>2.1299999999999999E-7</v>
      </c>
      <c r="J20" s="349">
        <v>0</v>
      </c>
      <c r="K20" s="403">
        <f>K26*1.025</f>
        <v>1.13939E-6</v>
      </c>
      <c r="L20" s="15"/>
      <c r="M20" s="15"/>
      <c r="N20" s="109">
        <f>N26*1</f>
        <v>120.235</v>
      </c>
      <c r="O20" s="122">
        <f>O26*1</f>
        <v>5.1389999999999996E-7</v>
      </c>
      <c r="P20" s="263">
        <v>0</v>
      </c>
      <c r="Q20" s="127">
        <f>Q26*1</f>
        <v>3.5446000000000001E-7</v>
      </c>
      <c r="R20" s="475" t="s">
        <v>274</v>
      </c>
      <c r="S20" s="432"/>
    </row>
    <row r="21" spans="2:19">
      <c r="F21" s="2"/>
      <c r="H21" s="77"/>
      <c r="I21" s="37"/>
      <c r="J21" s="266"/>
      <c r="K21" s="78"/>
      <c r="L21" s="37"/>
      <c r="M21" s="37"/>
      <c r="N21" s="77"/>
      <c r="O21" s="37"/>
      <c r="P21" s="266"/>
      <c r="Q21" s="78"/>
    </row>
    <row r="22" spans="2:19">
      <c r="F22" s="2"/>
      <c r="H22" s="154">
        <v>17.273</v>
      </c>
      <c r="I22" s="89" t="s">
        <v>275</v>
      </c>
      <c r="J22" s="267">
        <v>0</v>
      </c>
      <c r="K22" s="90" t="s">
        <v>276</v>
      </c>
      <c r="L22" s="81" t="s">
        <v>277</v>
      </c>
      <c r="M22" s="89"/>
      <c r="N22" s="91">
        <v>97.167000000000002</v>
      </c>
      <c r="O22" s="89" t="s">
        <v>278</v>
      </c>
      <c r="P22" s="267">
        <v>0</v>
      </c>
      <c r="Q22" s="90">
        <v>4.2553000000000003E-7</v>
      </c>
      <c r="R22" s="81" t="s">
        <v>277</v>
      </c>
      <c r="S22" s="2"/>
    </row>
    <row r="23" spans="2:19">
      <c r="F23" s="2"/>
      <c r="H23" s="91">
        <v>19.73</v>
      </c>
      <c r="I23" s="89">
        <v>2.9980999999999998E-7</v>
      </c>
      <c r="J23" s="267">
        <v>0</v>
      </c>
      <c r="K23" s="90">
        <v>1.1116000000000001E-6</v>
      </c>
      <c r="L23" s="81" t="s">
        <v>279</v>
      </c>
      <c r="M23" s="89"/>
      <c r="N23" s="91">
        <v>115.01</v>
      </c>
      <c r="O23" s="89">
        <v>5.6398999999999996E-7</v>
      </c>
      <c r="P23" s="267">
        <v>0</v>
      </c>
      <c r="Q23" s="90">
        <v>3.5446000000000001E-7</v>
      </c>
      <c r="R23" s="81" t="s">
        <v>279</v>
      </c>
      <c r="S23" s="2"/>
    </row>
    <row r="24" spans="2:19">
      <c r="F24" s="2"/>
      <c r="G24" s="133"/>
      <c r="H24" s="91">
        <f>19.73*1.02866</f>
        <v>20.295461799999998</v>
      </c>
      <c r="I24" s="89">
        <v>2.9980999999999998E-7</v>
      </c>
      <c r="J24" s="267">
        <v>0</v>
      </c>
      <c r="K24" s="90">
        <v>1.1116000000000001E-6</v>
      </c>
      <c r="L24" s="81" t="s">
        <v>280</v>
      </c>
      <c r="M24" s="73"/>
      <c r="N24" s="91">
        <f>N23*1.159</f>
        <v>133.29659000000001</v>
      </c>
      <c r="O24" s="89">
        <v>5.6398999999999996E-7</v>
      </c>
      <c r="P24" s="267">
        <v>0</v>
      </c>
      <c r="Q24" s="90">
        <v>3.5446000000000001E-7</v>
      </c>
      <c r="R24" s="81" t="s">
        <v>280</v>
      </c>
      <c r="S24" s="2"/>
    </row>
    <row r="25" spans="2:19">
      <c r="F25" s="2"/>
      <c r="H25" s="155" t="s">
        <v>281</v>
      </c>
      <c r="I25" s="81"/>
      <c r="J25" s="73"/>
      <c r="K25" s="92"/>
      <c r="L25" s="73"/>
      <c r="M25" s="73"/>
      <c r="N25" s="93" t="s">
        <v>282</v>
      </c>
      <c r="O25" s="73"/>
      <c r="P25" s="73"/>
      <c r="Q25" s="92"/>
      <c r="R25" s="73"/>
      <c r="S25" s="2"/>
    </row>
    <row r="26" spans="2:19">
      <c r="F26" s="2"/>
      <c r="G26" s="133" t="s">
        <v>283</v>
      </c>
      <c r="H26" s="112">
        <v>18.585999999999999</v>
      </c>
      <c r="I26" s="113">
        <v>2.1299999999999999E-7</v>
      </c>
      <c r="J26" s="110">
        <v>0</v>
      </c>
      <c r="K26" s="111">
        <v>1.1116000000000001E-6</v>
      </c>
      <c r="L26" s="4"/>
      <c r="M26" s="4"/>
      <c r="N26" s="112">
        <v>120.235</v>
      </c>
      <c r="O26" s="113">
        <v>5.1389999999999996E-7</v>
      </c>
      <c r="P26" s="114">
        <v>0</v>
      </c>
      <c r="Q26" s="113">
        <v>3.5446000000000001E-7</v>
      </c>
      <c r="R26" s="475" t="s">
        <v>284</v>
      </c>
      <c r="S26" s="432"/>
    </row>
    <row r="27" spans="2:19">
      <c r="F27" s="2"/>
      <c r="H27" s="100" t="s">
        <v>285</v>
      </c>
      <c r="I27" s="101"/>
      <c r="J27" s="98" t="s">
        <v>286</v>
      </c>
      <c r="K27" s="86"/>
      <c r="L27" s="94"/>
      <c r="N27" s="100" t="s">
        <v>285</v>
      </c>
      <c r="O27" s="101"/>
      <c r="P27" s="115" t="s">
        <v>206</v>
      </c>
      <c r="Q27" s="86"/>
    </row>
    <row r="28" spans="2:19">
      <c r="F28" s="2"/>
      <c r="G28" s="79" t="s">
        <v>287</v>
      </c>
      <c r="H28" s="94" t="s">
        <v>288</v>
      </c>
      <c r="I28" s="59"/>
      <c r="J28" s="94" t="s">
        <v>289</v>
      </c>
      <c r="K28" s="59"/>
      <c r="L28" s="94"/>
      <c r="N28" s="94" t="s">
        <v>290</v>
      </c>
      <c r="O28" s="59"/>
      <c r="P28" s="94"/>
      <c r="Q28" s="59"/>
      <c r="S28" s="5" t="s">
        <v>206</v>
      </c>
    </row>
    <row r="29" spans="2:19">
      <c r="F29" s="2"/>
      <c r="H29" s="95" t="s">
        <v>291</v>
      </c>
      <c r="I29" s="61"/>
      <c r="J29" s="95" t="s">
        <v>292</v>
      </c>
      <c r="K29" s="61"/>
      <c r="L29" s="94"/>
      <c r="N29" s="95" t="s">
        <v>291</v>
      </c>
      <c r="O29" s="61"/>
      <c r="P29" s="99" t="s">
        <v>293</v>
      </c>
      <c r="Q29" s="61"/>
    </row>
  </sheetData>
  <mergeCells count="33">
    <mergeCell ref="F16:G16"/>
    <mergeCell ref="R16:S16"/>
    <mergeCell ref="R26:S26"/>
    <mergeCell ref="R17:S17"/>
    <mergeCell ref="F18:G18"/>
    <mergeCell ref="R18:S18"/>
    <mergeCell ref="F19:G19"/>
    <mergeCell ref="R19:S19"/>
    <mergeCell ref="F20:G20"/>
    <mergeCell ref="R20:S20"/>
    <mergeCell ref="F17:G17"/>
    <mergeCell ref="R12:S12"/>
    <mergeCell ref="R13:S13"/>
    <mergeCell ref="F14:G14"/>
    <mergeCell ref="R14:S14"/>
    <mergeCell ref="F15:G15"/>
    <mergeCell ref="R15:S15"/>
    <mergeCell ref="F9:G9"/>
    <mergeCell ref="F13:G13"/>
    <mergeCell ref="F5:G5"/>
    <mergeCell ref="R5:S5"/>
    <mergeCell ref="F6:G6"/>
    <mergeCell ref="R6:S6"/>
    <mergeCell ref="F7:G7"/>
    <mergeCell ref="R7:S7"/>
    <mergeCell ref="R9:S9"/>
    <mergeCell ref="F10:G10"/>
    <mergeCell ref="R10:S10"/>
    <mergeCell ref="F11:G11"/>
    <mergeCell ref="R11:S11"/>
    <mergeCell ref="F8:G8"/>
    <mergeCell ref="R8:S8"/>
    <mergeCell ref="F12:G12"/>
  </mergeCell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5EF69-A9EB-4594-A85A-A286F923A4F3}">
  <sheetPr>
    <pageSetUpPr fitToPage="1"/>
  </sheetPr>
  <dimension ref="A1:T53"/>
  <sheetViews>
    <sheetView topLeftCell="B1" zoomScale="75" workbookViewId="0">
      <selection activeCell="D1" sqref="D1"/>
    </sheetView>
  </sheetViews>
  <sheetFormatPr defaultRowHeight="12.75"/>
  <cols>
    <col min="1" max="1" width="4.42578125" customWidth="1"/>
    <col min="2" max="7" width="15.7109375" style="2" customWidth="1"/>
    <col min="8" max="8" width="15.85546875" style="2" customWidth="1"/>
    <col min="9" max="10" width="15.7109375" style="2" customWidth="1"/>
    <col min="11" max="11" width="13.28515625" style="2" customWidth="1"/>
    <col min="12" max="12" width="15.28515625" style="2" customWidth="1"/>
    <col min="13" max="13" width="13" style="2" customWidth="1"/>
    <col min="14" max="14" width="13.28515625" style="2" customWidth="1"/>
    <col min="15" max="15" width="15.28515625" style="2" customWidth="1"/>
    <col min="16" max="16" width="13.28515625" style="2" customWidth="1"/>
    <col min="17" max="17" width="13.140625" style="2" customWidth="1"/>
    <col min="18" max="19" width="13.28515625" style="2" customWidth="1"/>
    <col min="20" max="20" width="14.28515625" style="2" customWidth="1"/>
  </cols>
  <sheetData>
    <row r="1" spans="1:20">
      <c r="A1" s="1" t="s">
        <v>123</v>
      </c>
      <c r="B1" s="6"/>
      <c r="C1" s="6"/>
      <c r="D1" s="6" t="s">
        <v>112</v>
      </c>
      <c r="F1" s="37" t="s">
        <v>105</v>
      </c>
      <c r="K1" s="6"/>
      <c r="M1" s="6" t="s">
        <v>124</v>
      </c>
      <c r="N1" s="25">
        <v>0</v>
      </c>
      <c r="O1" s="6" t="s">
        <v>124</v>
      </c>
      <c r="P1" s="6">
        <v>0.8</v>
      </c>
      <c r="Q1" s="6" t="s">
        <v>124</v>
      </c>
      <c r="R1" s="25">
        <v>1</v>
      </c>
      <c r="S1" s="25"/>
      <c r="T1" s="25"/>
    </row>
    <row r="2" spans="1:20">
      <c r="A2" s="7"/>
      <c r="B2" s="8"/>
      <c r="C2" s="8"/>
      <c r="D2" s="9" t="s">
        <v>125</v>
      </c>
      <c r="E2" s="9"/>
      <c r="F2" s="9"/>
      <c r="G2" s="9"/>
      <c r="H2" s="9"/>
      <c r="I2" s="9"/>
      <c r="J2" s="9"/>
      <c r="K2" s="8"/>
      <c r="L2" s="9" t="s">
        <v>126</v>
      </c>
      <c r="M2" s="9"/>
      <c r="N2" s="24" t="s">
        <v>127</v>
      </c>
      <c r="O2" s="9" t="s">
        <v>126</v>
      </c>
      <c r="P2" s="24" t="s">
        <v>128</v>
      </c>
      <c r="Q2" s="9" t="s">
        <v>126</v>
      </c>
      <c r="R2" s="24" t="s">
        <v>128</v>
      </c>
      <c r="S2" s="24" t="s">
        <v>129</v>
      </c>
      <c r="T2" s="9" t="s">
        <v>126</v>
      </c>
    </row>
    <row r="3" spans="1:20">
      <c r="A3" s="10"/>
      <c r="B3" s="11" t="s">
        <v>130</v>
      </c>
      <c r="C3" s="11" t="s">
        <v>131</v>
      </c>
      <c r="D3" s="12" t="s">
        <v>132</v>
      </c>
      <c r="E3" s="12" t="s">
        <v>133</v>
      </c>
      <c r="F3" s="12" t="s">
        <v>134</v>
      </c>
      <c r="G3" s="12" t="s">
        <v>135</v>
      </c>
      <c r="H3" s="12" t="s">
        <v>136</v>
      </c>
      <c r="I3" s="12" t="s">
        <v>137</v>
      </c>
      <c r="J3" s="22" t="s">
        <v>118</v>
      </c>
      <c r="K3" s="11" t="s">
        <v>127</v>
      </c>
      <c r="L3" s="12" t="s">
        <v>138</v>
      </c>
      <c r="M3" s="22" t="s">
        <v>118</v>
      </c>
      <c r="N3" s="11" t="s">
        <v>139</v>
      </c>
      <c r="O3" s="12" t="s">
        <v>140</v>
      </c>
      <c r="P3" s="11" t="s">
        <v>141</v>
      </c>
      <c r="Q3" s="12" t="s">
        <v>142</v>
      </c>
      <c r="R3" s="11" t="s">
        <v>143</v>
      </c>
      <c r="S3" s="11" t="s">
        <v>144</v>
      </c>
      <c r="T3" s="26" t="s">
        <v>142</v>
      </c>
    </row>
    <row r="4" spans="1:20">
      <c r="A4" s="13"/>
      <c r="B4" s="14" t="s">
        <v>119</v>
      </c>
      <c r="C4" s="14" t="s">
        <v>119</v>
      </c>
      <c r="D4" s="14" t="s">
        <v>119</v>
      </c>
      <c r="E4" s="14" t="s">
        <v>119</v>
      </c>
      <c r="F4" s="14" t="s">
        <v>119</v>
      </c>
      <c r="G4" s="14" t="s">
        <v>119</v>
      </c>
      <c r="H4" s="14" t="s">
        <v>119</v>
      </c>
      <c r="I4" s="14" t="s">
        <v>119</v>
      </c>
      <c r="J4" s="23" t="s">
        <v>119</v>
      </c>
      <c r="K4" s="14" t="s">
        <v>119</v>
      </c>
      <c r="L4" s="14" t="s">
        <v>119</v>
      </c>
      <c r="M4" s="23" t="s">
        <v>120</v>
      </c>
      <c r="N4" s="14" t="s">
        <v>120</v>
      </c>
      <c r="O4" s="14" t="s">
        <v>120</v>
      </c>
      <c r="P4" s="14" t="s">
        <v>120</v>
      </c>
      <c r="Q4" s="14" t="s">
        <v>120</v>
      </c>
      <c r="R4" s="14" t="s">
        <v>120</v>
      </c>
      <c r="S4" s="14" t="s">
        <v>119</v>
      </c>
      <c r="T4" s="14" t="s">
        <v>119</v>
      </c>
    </row>
    <row r="5" spans="1:20">
      <c r="A5" s="5">
        <v>1</v>
      </c>
      <c r="B5" s="2">
        <v>2400</v>
      </c>
      <c r="C5" s="4" t="e">
        <f>$B$36+$C$36*B5*B5</f>
        <v>#REF!</v>
      </c>
      <c r="D5" s="4" t="e">
        <f t="shared" ref="D5:D31" si="0">+B5-C5</f>
        <v>#REF!</v>
      </c>
      <c r="E5" s="4" t="e">
        <f>$E$36*D5*D5</f>
        <v>#REF!</v>
      </c>
      <c r="F5" s="4" t="e">
        <f t="shared" ref="F5:F31" si="1">+D5-E5</f>
        <v>#REF!</v>
      </c>
      <c r="G5" s="4" t="e">
        <f>$F$36+$G$36*F5*F5</f>
        <v>#REF!</v>
      </c>
      <c r="H5" s="4" t="e">
        <f t="shared" ref="H5:H31" si="2">+F5-G5</f>
        <v>#REF!</v>
      </c>
      <c r="I5" s="4" t="e">
        <f>$I$36*H5*H5</f>
        <v>#REF!</v>
      </c>
      <c r="J5" s="15" t="e">
        <f t="shared" ref="J5:J31" si="3">+C5+E5+G5+I5</f>
        <v>#REF!</v>
      </c>
      <c r="K5" s="15" t="e">
        <f t="shared" ref="K5:K17" si="4">+B5/$B$18*$J$18</f>
        <v>#REF!</v>
      </c>
      <c r="L5" s="4" t="e">
        <f t="shared" ref="L5:L31" si="5">+J5-K5</f>
        <v>#REF!</v>
      </c>
      <c r="M5" s="17" t="e">
        <f t="shared" ref="M5:M31" si="6">+J5/B5</f>
        <v>#REF!</v>
      </c>
      <c r="N5" s="17" t="e">
        <f t="shared" ref="N5:N31" si="7">+B5/$B$18*$M$18</f>
        <v>#REF!</v>
      </c>
      <c r="O5" s="20" t="e">
        <f>+M5-N5</f>
        <v>#REF!</v>
      </c>
      <c r="P5" s="17" t="e">
        <f t="shared" ref="P5:P31" si="8">+$M$18*($P$1+(1-$P$1)*(B5/$B$18))</f>
        <v>#REF!</v>
      </c>
      <c r="Q5" s="20" t="e">
        <f>+M5-P5</f>
        <v>#REF!</v>
      </c>
      <c r="R5" s="17" t="e">
        <f t="shared" ref="R5:R31" si="9">+$M$18*($R$1+(1-$R$1)*(B5/$B$18))</f>
        <v>#REF!</v>
      </c>
      <c r="S5" s="15" t="e">
        <f>+P5*B5</f>
        <v>#REF!</v>
      </c>
      <c r="T5" s="4" t="e">
        <f t="shared" ref="T5:T31" si="10">+J5-S5</f>
        <v>#REF!</v>
      </c>
    </row>
    <row r="6" spans="1:20">
      <c r="A6">
        <f t="shared" ref="A6:A31" si="11">1+A5</f>
        <v>2</v>
      </c>
      <c r="B6" s="2">
        <f t="shared" ref="B6:B31" si="12">+B5+$B$33</f>
        <v>2800</v>
      </c>
      <c r="C6" s="4" t="e">
        <f>$B$36+$C$36*B6*B6</f>
        <v>#REF!</v>
      </c>
      <c r="D6" s="4" t="e">
        <f t="shared" si="0"/>
        <v>#REF!</v>
      </c>
      <c r="E6" s="4" t="e">
        <f>$E$36*D6*D6</f>
        <v>#REF!</v>
      </c>
      <c r="F6" s="4" t="e">
        <f t="shared" si="1"/>
        <v>#REF!</v>
      </c>
      <c r="G6" s="4" t="e">
        <f>$F$36+$G$36*F6*F6</f>
        <v>#REF!</v>
      </c>
      <c r="H6" s="4" t="e">
        <f t="shared" si="2"/>
        <v>#REF!</v>
      </c>
      <c r="I6" s="4" t="e">
        <f>$I$36*H6*H6</f>
        <v>#REF!</v>
      </c>
      <c r="J6" s="4" t="e">
        <f t="shared" si="3"/>
        <v>#REF!</v>
      </c>
      <c r="K6" s="15" t="e">
        <f t="shared" si="4"/>
        <v>#REF!</v>
      </c>
      <c r="L6" s="4" t="e">
        <f t="shared" si="5"/>
        <v>#REF!</v>
      </c>
      <c r="M6" s="17" t="e">
        <f t="shared" si="6"/>
        <v>#REF!</v>
      </c>
      <c r="N6" s="17" t="e">
        <f t="shared" si="7"/>
        <v>#REF!</v>
      </c>
      <c r="O6" s="20" t="e">
        <f t="shared" ref="O6:O31" si="13">+M6-N6</f>
        <v>#REF!</v>
      </c>
      <c r="P6" s="17" t="e">
        <f t="shared" si="8"/>
        <v>#REF!</v>
      </c>
      <c r="Q6" s="20" t="e">
        <f t="shared" ref="Q6:Q31" si="14">+M6-P6</f>
        <v>#REF!</v>
      </c>
      <c r="R6" s="17" t="e">
        <f t="shared" si="9"/>
        <v>#REF!</v>
      </c>
      <c r="S6" s="15" t="e">
        <f t="shared" ref="S6:S31" si="15">+P6*B6</f>
        <v>#REF!</v>
      </c>
      <c r="T6" s="4" t="e">
        <f t="shared" si="10"/>
        <v>#REF!</v>
      </c>
    </row>
    <row r="7" spans="1:20">
      <c r="A7">
        <f t="shared" si="11"/>
        <v>3</v>
      </c>
      <c r="B7" s="2">
        <f t="shared" si="12"/>
        <v>3200</v>
      </c>
      <c r="C7" s="4" t="e">
        <f t="shared" ref="C7:C31" si="16">$B$36+$C$36*B7*B7</f>
        <v>#REF!</v>
      </c>
      <c r="D7" s="4" t="e">
        <f t="shared" si="0"/>
        <v>#REF!</v>
      </c>
      <c r="E7" s="4" t="e">
        <f t="shared" ref="E7:E31" si="17">$E$36*D7*D7</f>
        <v>#REF!</v>
      </c>
      <c r="F7" s="4" t="e">
        <f t="shared" si="1"/>
        <v>#REF!</v>
      </c>
      <c r="G7" s="4" t="e">
        <f t="shared" ref="G7:G31" si="18">$F$36+$G$36*F7*F7</f>
        <v>#REF!</v>
      </c>
      <c r="H7" s="4" t="e">
        <f t="shared" si="2"/>
        <v>#REF!</v>
      </c>
      <c r="I7" s="4" t="e">
        <f t="shared" ref="I7:I31" si="19">$I$36*H7*H7</f>
        <v>#REF!</v>
      </c>
      <c r="J7" s="4" t="e">
        <f t="shared" si="3"/>
        <v>#REF!</v>
      </c>
      <c r="K7" s="15" t="e">
        <f t="shared" si="4"/>
        <v>#REF!</v>
      </c>
      <c r="L7" s="4" t="e">
        <f t="shared" si="5"/>
        <v>#REF!</v>
      </c>
      <c r="M7" s="17" t="e">
        <f t="shared" si="6"/>
        <v>#REF!</v>
      </c>
      <c r="N7" s="17" t="e">
        <f t="shared" si="7"/>
        <v>#REF!</v>
      </c>
      <c r="O7" s="20" t="e">
        <f t="shared" si="13"/>
        <v>#REF!</v>
      </c>
      <c r="P7" s="17" t="e">
        <f t="shared" si="8"/>
        <v>#REF!</v>
      </c>
      <c r="Q7" s="20" t="e">
        <f t="shared" si="14"/>
        <v>#REF!</v>
      </c>
      <c r="R7" s="17" t="e">
        <f t="shared" si="9"/>
        <v>#REF!</v>
      </c>
      <c r="S7" s="15" t="e">
        <f t="shared" si="15"/>
        <v>#REF!</v>
      </c>
      <c r="T7" s="4" t="e">
        <f t="shared" si="10"/>
        <v>#REF!</v>
      </c>
    </row>
    <row r="8" spans="1:20">
      <c r="A8">
        <f t="shared" si="11"/>
        <v>4</v>
      </c>
      <c r="B8" s="2">
        <f t="shared" si="12"/>
        <v>3600</v>
      </c>
      <c r="C8" s="4" t="e">
        <f t="shared" si="16"/>
        <v>#REF!</v>
      </c>
      <c r="D8" s="4" t="e">
        <f t="shared" si="0"/>
        <v>#REF!</v>
      </c>
      <c r="E8" s="4" t="e">
        <f t="shared" si="17"/>
        <v>#REF!</v>
      </c>
      <c r="F8" s="4" t="e">
        <f t="shared" si="1"/>
        <v>#REF!</v>
      </c>
      <c r="G8" s="4" t="e">
        <f t="shared" si="18"/>
        <v>#REF!</v>
      </c>
      <c r="H8" s="4" t="e">
        <f t="shared" si="2"/>
        <v>#REF!</v>
      </c>
      <c r="I8" s="4" t="e">
        <f t="shared" si="19"/>
        <v>#REF!</v>
      </c>
      <c r="J8" s="4" t="e">
        <f t="shared" si="3"/>
        <v>#REF!</v>
      </c>
      <c r="K8" s="15" t="e">
        <f t="shared" si="4"/>
        <v>#REF!</v>
      </c>
      <c r="L8" s="4" t="e">
        <f t="shared" si="5"/>
        <v>#REF!</v>
      </c>
      <c r="M8" s="17" t="e">
        <f t="shared" si="6"/>
        <v>#REF!</v>
      </c>
      <c r="N8" s="17" t="e">
        <f t="shared" si="7"/>
        <v>#REF!</v>
      </c>
      <c r="O8" s="20" t="e">
        <f t="shared" si="13"/>
        <v>#REF!</v>
      </c>
      <c r="P8" s="17" t="e">
        <f t="shared" si="8"/>
        <v>#REF!</v>
      </c>
      <c r="Q8" s="20" t="e">
        <f t="shared" si="14"/>
        <v>#REF!</v>
      </c>
      <c r="R8" s="17" t="e">
        <f t="shared" si="9"/>
        <v>#REF!</v>
      </c>
      <c r="S8" s="15" t="e">
        <f t="shared" si="15"/>
        <v>#REF!</v>
      </c>
      <c r="T8" s="4" t="e">
        <f t="shared" si="10"/>
        <v>#REF!</v>
      </c>
    </row>
    <row r="9" spans="1:20">
      <c r="A9">
        <f t="shared" si="11"/>
        <v>5</v>
      </c>
      <c r="B9" s="2">
        <f t="shared" si="12"/>
        <v>4000</v>
      </c>
      <c r="C9" s="4" t="e">
        <f t="shared" si="16"/>
        <v>#REF!</v>
      </c>
      <c r="D9" s="4" t="e">
        <f t="shared" si="0"/>
        <v>#REF!</v>
      </c>
      <c r="E9" s="4" t="e">
        <f t="shared" si="17"/>
        <v>#REF!</v>
      </c>
      <c r="F9" s="4" t="e">
        <f t="shared" si="1"/>
        <v>#REF!</v>
      </c>
      <c r="G9" s="4" t="e">
        <f t="shared" si="18"/>
        <v>#REF!</v>
      </c>
      <c r="H9" s="4" t="e">
        <f t="shared" si="2"/>
        <v>#REF!</v>
      </c>
      <c r="I9" s="4" t="e">
        <f t="shared" si="19"/>
        <v>#REF!</v>
      </c>
      <c r="J9" s="4" t="e">
        <f t="shared" si="3"/>
        <v>#REF!</v>
      </c>
      <c r="K9" s="15" t="e">
        <f t="shared" si="4"/>
        <v>#REF!</v>
      </c>
      <c r="L9" s="4" t="e">
        <f t="shared" si="5"/>
        <v>#REF!</v>
      </c>
      <c r="M9" s="17" t="e">
        <f t="shared" si="6"/>
        <v>#REF!</v>
      </c>
      <c r="N9" s="17" t="e">
        <f t="shared" si="7"/>
        <v>#REF!</v>
      </c>
      <c r="O9" s="20" t="e">
        <f t="shared" si="13"/>
        <v>#REF!</v>
      </c>
      <c r="P9" s="17" t="e">
        <f t="shared" si="8"/>
        <v>#REF!</v>
      </c>
      <c r="Q9" s="20" t="e">
        <f t="shared" si="14"/>
        <v>#REF!</v>
      </c>
      <c r="R9" s="17" t="e">
        <f t="shared" si="9"/>
        <v>#REF!</v>
      </c>
      <c r="S9" s="15" t="e">
        <f t="shared" si="15"/>
        <v>#REF!</v>
      </c>
      <c r="T9" s="4" t="e">
        <f t="shared" si="10"/>
        <v>#REF!</v>
      </c>
    </row>
    <row r="10" spans="1:20">
      <c r="A10">
        <f t="shared" si="11"/>
        <v>6</v>
      </c>
      <c r="B10" s="2">
        <f t="shared" si="12"/>
        <v>4400</v>
      </c>
      <c r="C10" s="4" t="e">
        <f t="shared" si="16"/>
        <v>#REF!</v>
      </c>
      <c r="D10" s="4" t="e">
        <f t="shared" si="0"/>
        <v>#REF!</v>
      </c>
      <c r="E10" s="4" t="e">
        <f t="shared" si="17"/>
        <v>#REF!</v>
      </c>
      <c r="F10" s="4" t="e">
        <f t="shared" si="1"/>
        <v>#REF!</v>
      </c>
      <c r="G10" s="4" t="e">
        <f t="shared" si="18"/>
        <v>#REF!</v>
      </c>
      <c r="H10" s="4" t="e">
        <f t="shared" si="2"/>
        <v>#REF!</v>
      </c>
      <c r="I10" s="4" t="e">
        <f t="shared" si="19"/>
        <v>#REF!</v>
      </c>
      <c r="J10" s="4" t="e">
        <f t="shared" si="3"/>
        <v>#REF!</v>
      </c>
      <c r="K10" s="15" t="e">
        <f t="shared" si="4"/>
        <v>#REF!</v>
      </c>
      <c r="L10" s="4" t="e">
        <f t="shared" si="5"/>
        <v>#REF!</v>
      </c>
      <c r="M10" s="17" t="e">
        <f t="shared" si="6"/>
        <v>#REF!</v>
      </c>
      <c r="N10" s="17" t="e">
        <f t="shared" si="7"/>
        <v>#REF!</v>
      </c>
      <c r="O10" s="20" t="e">
        <f t="shared" si="13"/>
        <v>#REF!</v>
      </c>
      <c r="P10" s="17" t="e">
        <f t="shared" si="8"/>
        <v>#REF!</v>
      </c>
      <c r="Q10" s="20" t="e">
        <f t="shared" si="14"/>
        <v>#REF!</v>
      </c>
      <c r="R10" s="17" t="e">
        <f t="shared" si="9"/>
        <v>#REF!</v>
      </c>
      <c r="S10" s="15" t="e">
        <f t="shared" si="15"/>
        <v>#REF!</v>
      </c>
      <c r="T10" s="4" t="e">
        <f t="shared" si="10"/>
        <v>#REF!</v>
      </c>
    </row>
    <row r="11" spans="1:20">
      <c r="A11">
        <f t="shared" si="11"/>
        <v>7</v>
      </c>
      <c r="B11" s="2">
        <f t="shared" si="12"/>
        <v>4800</v>
      </c>
      <c r="C11" s="4" t="e">
        <f t="shared" si="16"/>
        <v>#REF!</v>
      </c>
      <c r="D11" s="4" t="e">
        <f t="shared" si="0"/>
        <v>#REF!</v>
      </c>
      <c r="E11" s="4" t="e">
        <f t="shared" si="17"/>
        <v>#REF!</v>
      </c>
      <c r="F11" s="4" t="e">
        <f t="shared" si="1"/>
        <v>#REF!</v>
      </c>
      <c r="G11" s="4" t="e">
        <f t="shared" si="18"/>
        <v>#REF!</v>
      </c>
      <c r="H11" s="4" t="e">
        <f t="shared" si="2"/>
        <v>#REF!</v>
      </c>
      <c r="I11" s="4" t="e">
        <f t="shared" si="19"/>
        <v>#REF!</v>
      </c>
      <c r="J11" s="4" t="e">
        <f t="shared" si="3"/>
        <v>#REF!</v>
      </c>
      <c r="K11" s="15" t="e">
        <f t="shared" si="4"/>
        <v>#REF!</v>
      </c>
      <c r="L11" s="4" t="e">
        <f t="shared" si="5"/>
        <v>#REF!</v>
      </c>
      <c r="M11" s="17" t="e">
        <f t="shared" si="6"/>
        <v>#REF!</v>
      </c>
      <c r="N11" s="17" t="e">
        <f t="shared" si="7"/>
        <v>#REF!</v>
      </c>
      <c r="O11" s="20" t="e">
        <f t="shared" si="13"/>
        <v>#REF!</v>
      </c>
      <c r="P11" s="17" t="e">
        <f t="shared" si="8"/>
        <v>#REF!</v>
      </c>
      <c r="Q11" s="20" t="e">
        <f t="shared" si="14"/>
        <v>#REF!</v>
      </c>
      <c r="R11" s="17" t="e">
        <f t="shared" si="9"/>
        <v>#REF!</v>
      </c>
      <c r="S11" s="15" t="e">
        <f t="shared" si="15"/>
        <v>#REF!</v>
      </c>
      <c r="T11" s="4" t="e">
        <f t="shared" si="10"/>
        <v>#REF!</v>
      </c>
    </row>
    <row r="12" spans="1:20">
      <c r="A12">
        <f t="shared" si="11"/>
        <v>8</v>
      </c>
      <c r="B12" s="2">
        <f t="shared" si="12"/>
        <v>5200</v>
      </c>
      <c r="C12" s="4" t="e">
        <f t="shared" si="16"/>
        <v>#REF!</v>
      </c>
      <c r="D12" s="4" t="e">
        <f t="shared" si="0"/>
        <v>#REF!</v>
      </c>
      <c r="E12" s="4" t="e">
        <f t="shared" si="17"/>
        <v>#REF!</v>
      </c>
      <c r="F12" s="4" t="e">
        <f t="shared" si="1"/>
        <v>#REF!</v>
      </c>
      <c r="G12" s="4" t="e">
        <f t="shared" si="18"/>
        <v>#REF!</v>
      </c>
      <c r="H12" s="4" t="e">
        <f t="shared" si="2"/>
        <v>#REF!</v>
      </c>
      <c r="I12" s="4" t="e">
        <f t="shared" si="19"/>
        <v>#REF!</v>
      </c>
      <c r="J12" s="4" t="e">
        <f t="shared" si="3"/>
        <v>#REF!</v>
      </c>
      <c r="K12" s="15" t="e">
        <f t="shared" si="4"/>
        <v>#REF!</v>
      </c>
      <c r="L12" s="4" t="e">
        <f t="shared" si="5"/>
        <v>#REF!</v>
      </c>
      <c r="M12" s="17" t="e">
        <f t="shared" si="6"/>
        <v>#REF!</v>
      </c>
      <c r="N12" s="17" t="e">
        <f t="shared" si="7"/>
        <v>#REF!</v>
      </c>
      <c r="O12" s="20" t="e">
        <f t="shared" si="13"/>
        <v>#REF!</v>
      </c>
      <c r="P12" s="17" t="e">
        <f t="shared" si="8"/>
        <v>#REF!</v>
      </c>
      <c r="Q12" s="20" t="e">
        <f t="shared" si="14"/>
        <v>#REF!</v>
      </c>
      <c r="R12" s="17" t="e">
        <f t="shared" si="9"/>
        <v>#REF!</v>
      </c>
      <c r="S12" s="15" t="e">
        <f t="shared" si="15"/>
        <v>#REF!</v>
      </c>
      <c r="T12" s="4" t="e">
        <f t="shared" si="10"/>
        <v>#REF!</v>
      </c>
    </row>
    <row r="13" spans="1:20">
      <c r="A13">
        <f t="shared" si="11"/>
        <v>9</v>
      </c>
      <c r="B13" s="2">
        <f t="shared" si="12"/>
        <v>5600</v>
      </c>
      <c r="C13" s="4" t="e">
        <f t="shared" si="16"/>
        <v>#REF!</v>
      </c>
      <c r="D13" s="4" t="e">
        <f t="shared" si="0"/>
        <v>#REF!</v>
      </c>
      <c r="E13" s="4" t="e">
        <f t="shared" si="17"/>
        <v>#REF!</v>
      </c>
      <c r="F13" s="4" t="e">
        <f t="shared" si="1"/>
        <v>#REF!</v>
      </c>
      <c r="G13" s="4" t="e">
        <f t="shared" si="18"/>
        <v>#REF!</v>
      </c>
      <c r="H13" s="4" t="e">
        <f t="shared" si="2"/>
        <v>#REF!</v>
      </c>
      <c r="I13" s="4" t="e">
        <f t="shared" si="19"/>
        <v>#REF!</v>
      </c>
      <c r="J13" s="4" t="e">
        <f t="shared" si="3"/>
        <v>#REF!</v>
      </c>
      <c r="K13" s="15" t="e">
        <f t="shared" si="4"/>
        <v>#REF!</v>
      </c>
      <c r="L13" s="4" t="e">
        <f t="shared" si="5"/>
        <v>#REF!</v>
      </c>
      <c r="M13" s="17" t="e">
        <f t="shared" si="6"/>
        <v>#REF!</v>
      </c>
      <c r="N13" s="17" t="e">
        <f t="shared" si="7"/>
        <v>#REF!</v>
      </c>
      <c r="O13" s="20" t="e">
        <f t="shared" si="13"/>
        <v>#REF!</v>
      </c>
      <c r="P13" s="17" t="e">
        <f t="shared" si="8"/>
        <v>#REF!</v>
      </c>
      <c r="Q13" s="20" t="e">
        <f t="shared" si="14"/>
        <v>#REF!</v>
      </c>
      <c r="R13" s="17" t="e">
        <f t="shared" si="9"/>
        <v>#REF!</v>
      </c>
      <c r="S13" s="15" t="e">
        <f t="shared" si="15"/>
        <v>#REF!</v>
      </c>
      <c r="T13" s="4" t="e">
        <f t="shared" si="10"/>
        <v>#REF!</v>
      </c>
    </row>
    <row r="14" spans="1:20">
      <c r="A14">
        <f t="shared" si="11"/>
        <v>10</v>
      </c>
      <c r="B14" s="2">
        <f t="shared" si="12"/>
        <v>6000</v>
      </c>
      <c r="C14" s="4" t="e">
        <f t="shared" si="16"/>
        <v>#REF!</v>
      </c>
      <c r="D14" s="4" t="e">
        <f t="shared" si="0"/>
        <v>#REF!</v>
      </c>
      <c r="E14" s="4" t="e">
        <f t="shared" si="17"/>
        <v>#REF!</v>
      </c>
      <c r="F14" s="4" t="e">
        <f t="shared" si="1"/>
        <v>#REF!</v>
      </c>
      <c r="G14" s="4" t="e">
        <f t="shared" si="18"/>
        <v>#REF!</v>
      </c>
      <c r="H14" s="4" t="e">
        <f t="shared" si="2"/>
        <v>#REF!</v>
      </c>
      <c r="I14" s="4" t="e">
        <f t="shared" si="19"/>
        <v>#REF!</v>
      </c>
      <c r="J14" s="4" t="e">
        <f t="shared" si="3"/>
        <v>#REF!</v>
      </c>
      <c r="K14" s="15" t="e">
        <f t="shared" si="4"/>
        <v>#REF!</v>
      </c>
      <c r="L14" s="4" t="e">
        <f t="shared" si="5"/>
        <v>#REF!</v>
      </c>
      <c r="M14" s="17" t="e">
        <f t="shared" si="6"/>
        <v>#REF!</v>
      </c>
      <c r="N14" s="17" t="e">
        <f t="shared" si="7"/>
        <v>#REF!</v>
      </c>
      <c r="O14" s="20" t="e">
        <f t="shared" si="13"/>
        <v>#REF!</v>
      </c>
      <c r="P14" s="17" t="e">
        <f t="shared" si="8"/>
        <v>#REF!</v>
      </c>
      <c r="Q14" s="20" t="e">
        <f t="shared" si="14"/>
        <v>#REF!</v>
      </c>
      <c r="R14" s="17" t="e">
        <f t="shared" si="9"/>
        <v>#REF!</v>
      </c>
      <c r="S14" s="15" t="e">
        <f t="shared" si="15"/>
        <v>#REF!</v>
      </c>
      <c r="T14" s="4" t="e">
        <f t="shared" si="10"/>
        <v>#REF!</v>
      </c>
    </row>
    <row r="15" spans="1:20">
      <c r="A15">
        <f t="shared" si="11"/>
        <v>11</v>
      </c>
      <c r="B15" s="2">
        <f t="shared" si="12"/>
        <v>6400</v>
      </c>
      <c r="C15" s="4" t="e">
        <f t="shared" si="16"/>
        <v>#REF!</v>
      </c>
      <c r="D15" s="4" t="e">
        <f t="shared" si="0"/>
        <v>#REF!</v>
      </c>
      <c r="E15" s="4" t="e">
        <f t="shared" si="17"/>
        <v>#REF!</v>
      </c>
      <c r="F15" s="4" t="e">
        <f t="shared" si="1"/>
        <v>#REF!</v>
      </c>
      <c r="G15" s="4" t="e">
        <f t="shared" si="18"/>
        <v>#REF!</v>
      </c>
      <c r="H15" s="4" t="e">
        <f t="shared" si="2"/>
        <v>#REF!</v>
      </c>
      <c r="I15" s="4" t="e">
        <f t="shared" si="19"/>
        <v>#REF!</v>
      </c>
      <c r="J15" s="4" t="e">
        <f t="shared" si="3"/>
        <v>#REF!</v>
      </c>
      <c r="K15" s="15" t="e">
        <f t="shared" si="4"/>
        <v>#REF!</v>
      </c>
      <c r="L15" s="4" t="e">
        <f t="shared" si="5"/>
        <v>#REF!</v>
      </c>
      <c r="M15" s="17" t="e">
        <f t="shared" si="6"/>
        <v>#REF!</v>
      </c>
      <c r="N15" s="17" t="e">
        <f t="shared" si="7"/>
        <v>#REF!</v>
      </c>
      <c r="O15" s="20" t="e">
        <f t="shared" si="13"/>
        <v>#REF!</v>
      </c>
      <c r="P15" s="17" t="e">
        <f t="shared" si="8"/>
        <v>#REF!</v>
      </c>
      <c r="Q15" s="20" t="e">
        <f t="shared" si="14"/>
        <v>#REF!</v>
      </c>
      <c r="R15" s="17" t="e">
        <f t="shared" si="9"/>
        <v>#REF!</v>
      </c>
      <c r="S15" s="15" t="e">
        <f t="shared" si="15"/>
        <v>#REF!</v>
      </c>
      <c r="T15" s="4" t="e">
        <f t="shared" si="10"/>
        <v>#REF!</v>
      </c>
    </row>
    <row r="16" spans="1:20">
      <c r="A16">
        <f t="shared" si="11"/>
        <v>12</v>
      </c>
      <c r="B16" s="2">
        <f t="shared" si="12"/>
        <v>6800</v>
      </c>
      <c r="C16" s="4" t="e">
        <f t="shared" si="16"/>
        <v>#REF!</v>
      </c>
      <c r="D16" s="4" t="e">
        <f t="shared" si="0"/>
        <v>#REF!</v>
      </c>
      <c r="E16" s="4" t="e">
        <f t="shared" si="17"/>
        <v>#REF!</v>
      </c>
      <c r="F16" s="4" t="e">
        <f t="shared" si="1"/>
        <v>#REF!</v>
      </c>
      <c r="G16" s="4" t="e">
        <f t="shared" si="18"/>
        <v>#REF!</v>
      </c>
      <c r="H16" s="4" t="e">
        <f t="shared" si="2"/>
        <v>#REF!</v>
      </c>
      <c r="I16" s="4" t="e">
        <f t="shared" si="19"/>
        <v>#REF!</v>
      </c>
      <c r="J16" s="4" t="e">
        <f t="shared" si="3"/>
        <v>#REF!</v>
      </c>
      <c r="K16" s="15" t="e">
        <f t="shared" si="4"/>
        <v>#REF!</v>
      </c>
      <c r="L16" s="4" t="e">
        <f t="shared" si="5"/>
        <v>#REF!</v>
      </c>
      <c r="M16" s="17" t="e">
        <f t="shared" si="6"/>
        <v>#REF!</v>
      </c>
      <c r="N16" s="17" t="e">
        <f t="shared" si="7"/>
        <v>#REF!</v>
      </c>
      <c r="O16" s="20" t="e">
        <f t="shared" si="13"/>
        <v>#REF!</v>
      </c>
      <c r="P16" s="17" t="e">
        <f t="shared" si="8"/>
        <v>#REF!</v>
      </c>
      <c r="Q16" s="20" t="e">
        <f t="shared" si="14"/>
        <v>#REF!</v>
      </c>
      <c r="R16" s="17" t="e">
        <f t="shared" si="9"/>
        <v>#REF!</v>
      </c>
      <c r="S16" s="15" t="e">
        <f t="shared" si="15"/>
        <v>#REF!</v>
      </c>
      <c r="T16" s="4" t="e">
        <f t="shared" si="10"/>
        <v>#REF!</v>
      </c>
    </row>
    <row r="17" spans="1:20">
      <c r="A17">
        <f t="shared" si="11"/>
        <v>13</v>
      </c>
      <c r="B17" s="2">
        <f t="shared" si="12"/>
        <v>7200</v>
      </c>
      <c r="C17" s="4" t="e">
        <f t="shared" si="16"/>
        <v>#REF!</v>
      </c>
      <c r="D17" s="4" t="e">
        <f t="shared" si="0"/>
        <v>#REF!</v>
      </c>
      <c r="E17" s="4" t="e">
        <f t="shared" si="17"/>
        <v>#REF!</v>
      </c>
      <c r="F17" s="4" t="e">
        <f t="shared" si="1"/>
        <v>#REF!</v>
      </c>
      <c r="G17" s="4" t="e">
        <f t="shared" si="18"/>
        <v>#REF!</v>
      </c>
      <c r="H17" s="4" t="e">
        <f t="shared" si="2"/>
        <v>#REF!</v>
      </c>
      <c r="I17" s="4" t="e">
        <f t="shared" si="19"/>
        <v>#REF!</v>
      </c>
      <c r="J17" s="4" t="e">
        <f t="shared" si="3"/>
        <v>#REF!</v>
      </c>
      <c r="K17" s="15" t="e">
        <f t="shared" si="4"/>
        <v>#REF!</v>
      </c>
      <c r="L17" s="4" t="e">
        <f t="shared" si="5"/>
        <v>#REF!</v>
      </c>
      <c r="M17" s="17" t="e">
        <f t="shared" si="6"/>
        <v>#REF!</v>
      </c>
      <c r="N17" s="17" t="e">
        <f t="shared" si="7"/>
        <v>#REF!</v>
      </c>
      <c r="O17" s="20" t="e">
        <f t="shared" si="13"/>
        <v>#REF!</v>
      </c>
      <c r="P17" s="17" t="e">
        <f t="shared" si="8"/>
        <v>#REF!</v>
      </c>
      <c r="Q17" s="20" t="e">
        <f t="shared" si="14"/>
        <v>#REF!</v>
      </c>
      <c r="R17" s="17" t="e">
        <f t="shared" si="9"/>
        <v>#REF!</v>
      </c>
      <c r="S17" s="15" t="e">
        <f t="shared" si="15"/>
        <v>#REF!</v>
      </c>
      <c r="T17" s="4" t="e">
        <f t="shared" si="10"/>
        <v>#REF!</v>
      </c>
    </row>
    <row r="18" spans="1:20" s="1" customFormat="1">
      <c r="A18" s="19">
        <f t="shared" si="11"/>
        <v>14</v>
      </c>
      <c r="B18" s="6">
        <f t="shared" si="12"/>
        <v>7600</v>
      </c>
      <c r="C18" s="16" t="e">
        <f t="shared" si="16"/>
        <v>#REF!</v>
      </c>
      <c r="D18" s="16" t="e">
        <f t="shared" si="0"/>
        <v>#REF!</v>
      </c>
      <c r="E18" s="16" t="e">
        <f t="shared" si="17"/>
        <v>#REF!</v>
      </c>
      <c r="F18" s="16" t="e">
        <f t="shared" si="1"/>
        <v>#REF!</v>
      </c>
      <c r="G18" s="16" t="e">
        <f t="shared" si="18"/>
        <v>#REF!</v>
      </c>
      <c r="H18" s="16" t="e">
        <f t="shared" si="2"/>
        <v>#REF!</v>
      </c>
      <c r="I18" s="16" t="e">
        <f t="shared" si="19"/>
        <v>#REF!</v>
      </c>
      <c r="J18" s="16" t="e">
        <f t="shared" si="3"/>
        <v>#REF!</v>
      </c>
      <c r="K18" s="16" t="e">
        <f>+B18/$B$18*$J$18</f>
        <v>#REF!</v>
      </c>
      <c r="L18" s="16" t="e">
        <f t="shared" si="5"/>
        <v>#REF!</v>
      </c>
      <c r="M18" s="18" t="e">
        <f t="shared" si="6"/>
        <v>#REF!</v>
      </c>
      <c r="N18" s="18" t="e">
        <f t="shared" si="7"/>
        <v>#REF!</v>
      </c>
      <c r="O18" s="18" t="e">
        <f t="shared" si="13"/>
        <v>#REF!</v>
      </c>
      <c r="P18" s="18" t="e">
        <f>+$M$18*($P$1+(1-$P$1)*(B18/$B$18))</f>
        <v>#REF!</v>
      </c>
      <c r="Q18" s="18" t="e">
        <f t="shared" si="14"/>
        <v>#REF!</v>
      </c>
      <c r="R18" s="18" t="e">
        <f t="shared" si="9"/>
        <v>#REF!</v>
      </c>
      <c r="S18" s="16" t="e">
        <f t="shared" si="15"/>
        <v>#REF!</v>
      </c>
      <c r="T18" s="16" t="e">
        <f t="shared" si="10"/>
        <v>#REF!</v>
      </c>
    </row>
    <row r="19" spans="1:20">
      <c r="A19">
        <f t="shared" si="11"/>
        <v>15</v>
      </c>
      <c r="B19" s="2">
        <f t="shared" si="12"/>
        <v>8000</v>
      </c>
      <c r="C19" s="4" t="e">
        <f t="shared" si="16"/>
        <v>#REF!</v>
      </c>
      <c r="D19" s="4" t="e">
        <f t="shared" si="0"/>
        <v>#REF!</v>
      </c>
      <c r="E19" s="4" t="e">
        <f t="shared" si="17"/>
        <v>#REF!</v>
      </c>
      <c r="F19" s="4" t="e">
        <f t="shared" si="1"/>
        <v>#REF!</v>
      </c>
      <c r="G19" s="4" t="e">
        <f t="shared" si="18"/>
        <v>#REF!</v>
      </c>
      <c r="H19" s="4" t="e">
        <f t="shared" si="2"/>
        <v>#REF!</v>
      </c>
      <c r="I19" s="4" t="e">
        <f t="shared" si="19"/>
        <v>#REF!</v>
      </c>
      <c r="J19" s="4" t="e">
        <f t="shared" si="3"/>
        <v>#REF!</v>
      </c>
      <c r="K19" s="15" t="e">
        <f t="shared" ref="K19:K31" si="20">+B19/$B$18*$J$18</f>
        <v>#REF!</v>
      </c>
      <c r="L19" s="4" t="e">
        <f t="shared" si="5"/>
        <v>#REF!</v>
      </c>
      <c r="M19" s="17" t="e">
        <f t="shared" si="6"/>
        <v>#REF!</v>
      </c>
      <c r="N19" s="17" t="e">
        <f t="shared" si="7"/>
        <v>#REF!</v>
      </c>
      <c r="O19" s="20" t="e">
        <f t="shared" si="13"/>
        <v>#REF!</v>
      </c>
      <c r="P19" s="17" t="e">
        <f t="shared" si="8"/>
        <v>#REF!</v>
      </c>
      <c r="Q19" s="20" t="e">
        <f t="shared" si="14"/>
        <v>#REF!</v>
      </c>
      <c r="R19" s="17" t="e">
        <f t="shared" si="9"/>
        <v>#REF!</v>
      </c>
      <c r="S19" s="15" t="e">
        <f t="shared" si="15"/>
        <v>#REF!</v>
      </c>
      <c r="T19" s="4" t="e">
        <f t="shared" si="10"/>
        <v>#REF!</v>
      </c>
    </row>
    <row r="20" spans="1:20">
      <c r="A20">
        <f t="shared" si="11"/>
        <v>16</v>
      </c>
      <c r="B20" s="2">
        <f t="shared" si="12"/>
        <v>8400</v>
      </c>
      <c r="C20" s="4" t="e">
        <f t="shared" si="16"/>
        <v>#REF!</v>
      </c>
      <c r="D20" s="4" t="e">
        <f t="shared" si="0"/>
        <v>#REF!</v>
      </c>
      <c r="E20" s="4" t="e">
        <f t="shared" si="17"/>
        <v>#REF!</v>
      </c>
      <c r="F20" s="4" t="e">
        <f t="shared" si="1"/>
        <v>#REF!</v>
      </c>
      <c r="G20" s="4" t="e">
        <f t="shared" si="18"/>
        <v>#REF!</v>
      </c>
      <c r="H20" s="4" t="e">
        <f t="shared" si="2"/>
        <v>#REF!</v>
      </c>
      <c r="I20" s="4" t="e">
        <f t="shared" si="19"/>
        <v>#REF!</v>
      </c>
      <c r="J20" s="4" t="e">
        <f t="shared" si="3"/>
        <v>#REF!</v>
      </c>
      <c r="K20" s="15" t="e">
        <f t="shared" si="20"/>
        <v>#REF!</v>
      </c>
      <c r="L20" s="4" t="e">
        <f t="shared" si="5"/>
        <v>#REF!</v>
      </c>
      <c r="M20" s="17" t="e">
        <f t="shared" si="6"/>
        <v>#REF!</v>
      </c>
      <c r="N20" s="17" t="e">
        <f t="shared" si="7"/>
        <v>#REF!</v>
      </c>
      <c r="O20" s="20" t="e">
        <f t="shared" si="13"/>
        <v>#REF!</v>
      </c>
      <c r="P20" s="17" t="e">
        <f t="shared" si="8"/>
        <v>#REF!</v>
      </c>
      <c r="Q20" s="20" t="e">
        <f t="shared" si="14"/>
        <v>#REF!</v>
      </c>
      <c r="R20" s="17" t="e">
        <f t="shared" si="9"/>
        <v>#REF!</v>
      </c>
      <c r="S20" s="15" t="e">
        <f t="shared" si="15"/>
        <v>#REF!</v>
      </c>
      <c r="T20" s="4" t="e">
        <f t="shared" si="10"/>
        <v>#REF!</v>
      </c>
    </row>
    <row r="21" spans="1:20">
      <c r="A21">
        <f t="shared" si="11"/>
        <v>17</v>
      </c>
      <c r="B21" s="2">
        <f t="shared" si="12"/>
        <v>8800</v>
      </c>
      <c r="C21" s="4" t="e">
        <f t="shared" si="16"/>
        <v>#REF!</v>
      </c>
      <c r="D21" s="4" t="e">
        <f t="shared" si="0"/>
        <v>#REF!</v>
      </c>
      <c r="E21" s="4" t="e">
        <f t="shared" si="17"/>
        <v>#REF!</v>
      </c>
      <c r="F21" s="4" t="e">
        <f t="shared" si="1"/>
        <v>#REF!</v>
      </c>
      <c r="G21" s="4" t="e">
        <f t="shared" si="18"/>
        <v>#REF!</v>
      </c>
      <c r="H21" s="4" t="e">
        <f t="shared" si="2"/>
        <v>#REF!</v>
      </c>
      <c r="I21" s="4" t="e">
        <f t="shared" si="19"/>
        <v>#REF!</v>
      </c>
      <c r="J21" s="4" t="e">
        <f t="shared" si="3"/>
        <v>#REF!</v>
      </c>
      <c r="K21" s="15" t="e">
        <f t="shared" si="20"/>
        <v>#REF!</v>
      </c>
      <c r="L21" s="4" t="e">
        <f t="shared" si="5"/>
        <v>#REF!</v>
      </c>
      <c r="M21" s="17" t="e">
        <f t="shared" si="6"/>
        <v>#REF!</v>
      </c>
      <c r="N21" s="17" t="e">
        <f t="shared" si="7"/>
        <v>#REF!</v>
      </c>
      <c r="O21" s="20" t="e">
        <f t="shared" si="13"/>
        <v>#REF!</v>
      </c>
      <c r="P21" s="17" t="e">
        <f t="shared" si="8"/>
        <v>#REF!</v>
      </c>
      <c r="Q21" s="20" t="e">
        <f t="shared" si="14"/>
        <v>#REF!</v>
      </c>
      <c r="R21" s="17" t="e">
        <f t="shared" si="9"/>
        <v>#REF!</v>
      </c>
      <c r="S21" s="15" t="e">
        <f t="shared" si="15"/>
        <v>#REF!</v>
      </c>
      <c r="T21" s="4" t="e">
        <f t="shared" si="10"/>
        <v>#REF!</v>
      </c>
    </row>
    <row r="22" spans="1:20">
      <c r="A22">
        <f t="shared" si="11"/>
        <v>18</v>
      </c>
      <c r="B22" s="2">
        <f t="shared" si="12"/>
        <v>9200</v>
      </c>
      <c r="C22" s="4" t="e">
        <f t="shared" si="16"/>
        <v>#REF!</v>
      </c>
      <c r="D22" s="4" t="e">
        <f t="shared" si="0"/>
        <v>#REF!</v>
      </c>
      <c r="E22" s="4" t="e">
        <f t="shared" si="17"/>
        <v>#REF!</v>
      </c>
      <c r="F22" s="4" t="e">
        <f t="shared" si="1"/>
        <v>#REF!</v>
      </c>
      <c r="G22" s="4" t="e">
        <f t="shared" si="18"/>
        <v>#REF!</v>
      </c>
      <c r="H22" s="4" t="e">
        <f t="shared" si="2"/>
        <v>#REF!</v>
      </c>
      <c r="I22" s="4" t="e">
        <f t="shared" si="19"/>
        <v>#REF!</v>
      </c>
      <c r="J22" s="4" t="e">
        <f t="shared" si="3"/>
        <v>#REF!</v>
      </c>
      <c r="K22" s="15" t="e">
        <f t="shared" si="20"/>
        <v>#REF!</v>
      </c>
      <c r="L22" s="4" t="e">
        <f t="shared" si="5"/>
        <v>#REF!</v>
      </c>
      <c r="M22" s="17" t="e">
        <f t="shared" si="6"/>
        <v>#REF!</v>
      </c>
      <c r="N22" s="17" t="e">
        <f t="shared" si="7"/>
        <v>#REF!</v>
      </c>
      <c r="O22" s="20" t="e">
        <f t="shared" si="13"/>
        <v>#REF!</v>
      </c>
      <c r="P22" s="17" t="e">
        <f t="shared" si="8"/>
        <v>#REF!</v>
      </c>
      <c r="Q22" s="20" t="e">
        <f t="shared" si="14"/>
        <v>#REF!</v>
      </c>
      <c r="R22" s="17" t="e">
        <f t="shared" si="9"/>
        <v>#REF!</v>
      </c>
      <c r="S22" s="15" t="e">
        <f t="shared" si="15"/>
        <v>#REF!</v>
      </c>
      <c r="T22" s="4" t="e">
        <f t="shared" si="10"/>
        <v>#REF!</v>
      </c>
    </row>
    <row r="23" spans="1:20">
      <c r="A23">
        <f t="shared" si="11"/>
        <v>19</v>
      </c>
      <c r="B23" s="2">
        <f t="shared" si="12"/>
        <v>9600</v>
      </c>
      <c r="C23" s="4" t="e">
        <f t="shared" si="16"/>
        <v>#REF!</v>
      </c>
      <c r="D23" s="4" t="e">
        <f t="shared" si="0"/>
        <v>#REF!</v>
      </c>
      <c r="E23" s="4" t="e">
        <f t="shared" si="17"/>
        <v>#REF!</v>
      </c>
      <c r="F23" s="4" t="e">
        <f t="shared" si="1"/>
        <v>#REF!</v>
      </c>
      <c r="G23" s="4" t="e">
        <f t="shared" si="18"/>
        <v>#REF!</v>
      </c>
      <c r="H23" s="4" t="e">
        <f t="shared" si="2"/>
        <v>#REF!</v>
      </c>
      <c r="I23" s="4" t="e">
        <f t="shared" si="19"/>
        <v>#REF!</v>
      </c>
      <c r="J23" s="4" t="e">
        <f t="shared" si="3"/>
        <v>#REF!</v>
      </c>
      <c r="K23" s="15" t="e">
        <f t="shared" si="20"/>
        <v>#REF!</v>
      </c>
      <c r="L23" s="4" t="e">
        <f t="shared" si="5"/>
        <v>#REF!</v>
      </c>
      <c r="M23" s="17" t="e">
        <f t="shared" si="6"/>
        <v>#REF!</v>
      </c>
      <c r="N23" s="17" t="e">
        <f t="shared" si="7"/>
        <v>#REF!</v>
      </c>
      <c r="O23" s="20" t="e">
        <f t="shared" si="13"/>
        <v>#REF!</v>
      </c>
      <c r="P23" s="17" t="e">
        <f t="shared" si="8"/>
        <v>#REF!</v>
      </c>
      <c r="Q23" s="20" t="e">
        <f t="shared" si="14"/>
        <v>#REF!</v>
      </c>
      <c r="R23" s="17" t="e">
        <f t="shared" si="9"/>
        <v>#REF!</v>
      </c>
      <c r="S23" s="15" t="e">
        <f t="shared" si="15"/>
        <v>#REF!</v>
      </c>
      <c r="T23" s="4" t="e">
        <f t="shared" si="10"/>
        <v>#REF!</v>
      </c>
    </row>
    <row r="24" spans="1:20">
      <c r="A24">
        <f t="shared" si="11"/>
        <v>20</v>
      </c>
      <c r="B24" s="2">
        <f t="shared" si="12"/>
        <v>10000</v>
      </c>
      <c r="C24" s="4" t="e">
        <f t="shared" si="16"/>
        <v>#REF!</v>
      </c>
      <c r="D24" s="4" t="e">
        <f t="shared" si="0"/>
        <v>#REF!</v>
      </c>
      <c r="E24" s="4" t="e">
        <f t="shared" si="17"/>
        <v>#REF!</v>
      </c>
      <c r="F24" s="4" t="e">
        <f t="shared" si="1"/>
        <v>#REF!</v>
      </c>
      <c r="G24" s="4" t="e">
        <f t="shared" si="18"/>
        <v>#REF!</v>
      </c>
      <c r="H24" s="4" t="e">
        <f t="shared" si="2"/>
        <v>#REF!</v>
      </c>
      <c r="I24" s="4" t="e">
        <f t="shared" si="19"/>
        <v>#REF!</v>
      </c>
      <c r="J24" s="4" t="e">
        <f t="shared" si="3"/>
        <v>#REF!</v>
      </c>
      <c r="K24" s="15" t="e">
        <f t="shared" si="20"/>
        <v>#REF!</v>
      </c>
      <c r="L24" s="4" t="e">
        <f t="shared" si="5"/>
        <v>#REF!</v>
      </c>
      <c r="M24" s="17" t="e">
        <f t="shared" si="6"/>
        <v>#REF!</v>
      </c>
      <c r="N24" s="17" t="e">
        <f t="shared" si="7"/>
        <v>#REF!</v>
      </c>
      <c r="O24" s="20" t="e">
        <f t="shared" si="13"/>
        <v>#REF!</v>
      </c>
      <c r="P24" s="17" t="e">
        <f t="shared" si="8"/>
        <v>#REF!</v>
      </c>
      <c r="Q24" s="20" t="e">
        <f t="shared" si="14"/>
        <v>#REF!</v>
      </c>
      <c r="R24" s="17" t="e">
        <f t="shared" si="9"/>
        <v>#REF!</v>
      </c>
      <c r="S24" s="15" t="e">
        <f t="shared" si="15"/>
        <v>#REF!</v>
      </c>
      <c r="T24" s="4" t="e">
        <f t="shared" si="10"/>
        <v>#REF!</v>
      </c>
    </row>
    <row r="25" spans="1:20">
      <c r="A25">
        <f t="shared" si="11"/>
        <v>21</v>
      </c>
      <c r="B25" s="2">
        <f t="shared" si="12"/>
        <v>10400</v>
      </c>
      <c r="C25" s="4" t="e">
        <f t="shared" si="16"/>
        <v>#REF!</v>
      </c>
      <c r="D25" s="4" t="e">
        <f t="shared" si="0"/>
        <v>#REF!</v>
      </c>
      <c r="E25" s="4" t="e">
        <f t="shared" si="17"/>
        <v>#REF!</v>
      </c>
      <c r="F25" s="4" t="e">
        <f t="shared" si="1"/>
        <v>#REF!</v>
      </c>
      <c r="G25" s="4" t="e">
        <f t="shared" si="18"/>
        <v>#REF!</v>
      </c>
      <c r="H25" s="4" t="e">
        <f t="shared" si="2"/>
        <v>#REF!</v>
      </c>
      <c r="I25" s="4" t="e">
        <f t="shared" si="19"/>
        <v>#REF!</v>
      </c>
      <c r="J25" s="4" t="e">
        <f t="shared" si="3"/>
        <v>#REF!</v>
      </c>
      <c r="K25" s="15" t="e">
        <f t="shared" si="20"/>
        <v>#REF!</v>
      </c>
      <c r="L25" s="4" t="e">
        <f t="shared" si="5"/>
        <v>#REF!</v>
      </c>
      <c r="M25" s="17" t="e">
        <f t="shared" si="6"/>
        <v>#REF!</v>
      </c>
      <c r="N25" s="17" t="e">
        <f t="shared" si="7"/>
        <v>#REF!</v>
      </c>
      <c r="O25" s="20" t="e">
        <f t="shared" si="13"/>
        <v>#REF!</v>
      </c>
      <c r="P25" s="17" t="e">
        <f t="shared" si="8"/>
        <v>#REF!</v>
      </c>
      <c r="Q25" s="20" t="e">
        <f t="shared" si="14"/>
        <v>#REF!</v>
      </c>
      <c r="R25" s="17" t="e">
        <f t="shared" si="9"/>
        <v>#REF!</v>
      </c>
      <c r="S25" s="15" t="e">
        <f t="shared" si="15"/>
        <v>#REF!</v>
      </c>
      <c r="T25" s="4" t="e">
        <f t="shared" si="10"/>
        <v>#REF!</v>
      </c>
    </row>
    <row r="26" spans="1:20">
      <c r="A26">
        <f t="shared" si="11"/>
        <v>22</v>
      </c>
      <c r="B26" s="2">
        <f t="shared" si="12"/>
        <v>10800</v>
      </c>
      <c r="C26" s="4" t="e">
        <f t="shared" si="16"/>
        <v>#REF!</v>
      </c>
      <c r="D26" s="4" t="e">
        <f t="shared" si="0"/>
        <v>#REF!</v>
      </c>
      <c r="E26" s="4" t="e">
        <f t="shared" si="17"/>
        <v>#REF!</v>
      </c>
      <c r="F26" s="4" t="e">
        <f t="shared" si="1"/>
        <v>#REF!</v>
      </c>
      <c r="G26" s="4" t="e">
        <f t="shared" si="18"/>
        <v>#REF!</v>
      </c>
      <c r="H26" s="4" t="e">
        <f t="shared" si="2"/>
        <v>#REF!</v>
      </c>
      <c r="I26" s="4" t="e">
        <f t="shared" si="19"/>
        <v>#REF!</v>
      </c>
      <c r="J26" s="4" t="e">
        <f t="shared" si="3"/>
        <v>#REF!</v>
      </c>
      <c r="K26" s="15" t="e">
        <f t="shared" si="20"/>
        <v>#REF!</v>
      </c>
      <c r="L26" s="4" t="e">
        <f t="shared" si="5"/>
        <v>#REF!</v>
      </c>
      <c r="M26" s="17" t="e">
        <f t="shared" si="6"/>
        <v>#REF!</v>
      </c>
      <c r="N26" s="17" t="e">
        <f t="shared" si="7"/>
        <v>#REF!</v>
      </c>
      <c r="O26" s="20" t="e">
        <f t="shared" si="13"/>
        <v>#REF!</v>
      </c>
      <c r="P26" s="17" t="e">
        <f t="shared" si="8"/>
        <v>#REF!</v>
      </c>
      <c r="Q26" s="20" t="e">
        <f t="shared" si="14"/>
        <v>#REF!</v>
      </c>
      <c r="R26" s="17" t="e">
        <f t="shared" si="9"/>
        <v>#REF!</v>
      </c>
      <c r="S26" s="15" t="e">
        <f t="shared" si="15"/>
        <v>#REF!</v>
      </c>
      <c r="T26" s="4" t="e">
        <f t="shared" si="10"/>
        <v>#REF!</v>
      </c>
    </row>
    <row r="27" spans="1:20">
      <c r="A27">
        <f t="shared" si="11"/>
        <v>23</v>
      </c>
      <c r="B27" s="2">
        <f t="shared" si="12"/>
        <v>11200</v>
      </c>
      <c r="C27" s="4" t="e">
        <f t="shared" si="16"/>
        <v>#REF!</v>
      </c>
      <c r="D27" s="4" t="e">
        <f t="shared" si="0"/>
        <v>#REF!</v>
      </c>
      <c r="E27" s="4" t="e">
        <f t="shared" si="17"/>
        <v>#REF!</v>
      </c>
      <c r="F27" s="4" t="e">
        <f t="shared" si="1"/>
        <v>#REF!</v>
      </c>
      <c r="G27" s="4" t="e">
        <f t="shared" si="18"/>
        <v>#REF!</v>
      </c>
      <c r="H27" s="4" t="e">
        <f t="shared" si="2"/>
        <v>#REF!</v>
      </c>
      <c r="I27" s="4" t="e">
        <f t="shared" si="19"/>
        <v>#REF!</v>
      </c>
      <c r="J27" s="4" t="e">
        <f t="shared" si="3"/>
        <v>#REF!</v>
      </c>
      <c r="K27" s="15" t="e">
        <f t="shared" si="20"/>
        <v>#REF!</v>
      </c>
      <c r="L27" s="4" t="e">
        <f t="shared" si="5"/>
        <v>#REF!</v>
      </c>
      <c r="M27" s="17" t="e">
        <f t="shared" si="6"/>
        <v>#REF!</v>
      </c>
      <c r="N27" s="17" t="e">
        <f t="shared" si="7"/>
        <v>#REF!</v>
      </c>
      <c r="O27" s="20" t="e">
        <f t="shared" si="13"/>
        <v>#REF!</v>
      </c>
      <c r="P27" s="17" t="e">
        <f t="shared" si="8"/>
        <v>#REF!</v>
      </c>
      <c r="Q27" s="20" t="e">
        <f t="shared" si="14"/>
        <v>#REF!</v>
      </c>
      <c r="R27" s="17" t="e">
        <f t="shared" si="9"/>
        <v>#REF!</v>
      </c>
      <c r="S27" s="15" t="e">
        <f t="shared" si="15"/>
        <v>#REF!</v>
      </c>
      <c r="T27" s="4" t="e">
        <f t="shared" si="10"/>
        <v>#REF!</v>
      </c>
    </row>
    <row r="28" spans="1:20">
      <c r="A28">
        <f t="shared" si="11"/>
        <v>24</v>
      </c>
      <c r="B28" s="2">
        <f t="shared" si="12"/>
        <v>11600</v>
      </c>
      <c r="C28" s="4" t="e">
        <f t="shared" si="16"/>
        <v>#REF!</v>
      </c>
      <c r="D28" s="4" t="e">
        <f t="shared" si="0"/>
        <v>#REF!</v>
      </c>
      <c r="E28" s="4" t="e">
        <f t="shared" si="17"/>
        <v>#REF!</v>
      </c>
      <c r="F28" s="4" t="e">
        <f t="shared" si="1"/>
        <v>#REF!</v>
      </c>
      <c r="G28" s="4" t="e">
        <f t="shared" si="18"/>
        <v>#REF!</v>
      </c>
      <c r="H28" s="4" t="e">
        <f t="shared" si="2"/>
        <v>#REF!</v>
      </c>
      <c r="I28" s="4" t="e">
        <f t="shared" si="19"/>
        <v>#REF!</v>
      </c>
      <c r="J28" s="4" t="e">
        <f t="shared" si="3"/>
        <v>#REF!</v>
      </c>
      <c r="K28" s="15" t="e">
        <f t="shared" si="20"/>
        <v>#REF!</v>
      </c>
      <c r="L28" s="4" t="e">
        <f t="shared" si="5"/>
        <v>#REF!</v>
      </c>
      <c r="M28" s="17" t="e">
        <f t="shared" si="6"/>
        <v>#REF!</v>
      </c>
      <c r="N28" s="17" t="e">
        <f t="shared" si="7"/>
        <v>#REF!</v>
      </c>
      <c r="O28" s="20" t="e">
        <f t="shared" si="13"/>
        <v>#REF!</v>
      </c>
      <c r="P28" s="17" t="e">
        <f t="shared" si="8"/>
        <v>#REF!</v>
      </c>
      <c r="Q28" s="20" t="e">
        <f t="shared" si="14"/>
        <v>#REF!</v>
      </c>
      <c r="R28" s="17" t="e">
        <f t="shared" si="9"/>
        <v>#REF!</v>
      </c>
      <c r="S28" s="15" t="e">
        <f t="shared" si="15"/>
        <v>#REF!</v>
      </c>
      <c r="T28" s="4" t="e">
        <f t="shared" si="10"/>
        <v>#REF!</v>
      </c>
    </row>
    <row r="29" spans="1:20">
      <c r="A29">
        <f t="shared" si="11"/>
        <v>25</v>
      </c>
      <c r="B29" s="2">
        <f t="shared" si="12"/>
        <v>12000</v>
      </c>
      <c r="C29" s="4" t="e">
        <f t="shared" si="16"/>
        <v>#REF!</v>
      </c>
      <c r="D29" s="4" t="e">
        <f t="shared" si="0"/>
        <v>#REF!</v>
      </c>
      <c r="E29" s="4" t="e">
        <f t="shared" si="17"/>
        <v>#REF!</v>
      </c>
      <c r="F29" s="4" t="e">
        <f t="shared" si="1"/>
        <v>#REF!</v>
      </c>
      <c r="G29" s="4" t="e">
        <f t="shared" si="18"/>
        <v>#REF!</v>
      </c>
      <c r="H29" s="4" t="e">
        <f t="shared" si="2"/>
        <v>#REF!</v>
      </c>
      <c r="I29" s="4" t="e">
        <f t="shared" si="19"/>
        <v>#REF!</v>
      </c>
      <c r="J29" s="4" t="e">
        <f t="shared" si="3"/>
        <v>#REF!</v>
      </c>
      <c r="K29" s="15" t="e">
        <f t="shared" si="20"/>
        <v>#REF!</v>
      </c>
      <c r="L29" s="4" t="e">
        <f t="shared" si="5"/>
        <v>#REF!</v>
      </c>
      <c r="M29" s="17" t="e">
        <f t="shared" si="6"/>
        <v>#REF!</v>
      </c>
      <c r="N29" s="17" t="e">
        <f t="shared" si="7"/>
        <v>#REF!</v>
      </c>
      <c r="O29" s="20" t="e">
        <f t="shared" si="13"/>
        <v>#REF!</v>
      </c>
      <c r="P29" s="17" t="e">
        <f t="shared" si="8"/>
        <v>#REF!</v>
      </c>
      <c r="Q29" s="20" t="e">
        <f t="shared" si="14"/>
        <v>#REF!</v>
      </c>
      <c r="R29" s="17" t="e">
        <f t="shared" si="9"/>
        <v>#REF!</v>
      </c>
      <c r="S29" s="15" t="e">
        <f t="shared" si="15"/>
        <v>#REF!</v>
      </c>
      <c r="T29" s="4" t="e">
        <f t="shared" si="10"/>
        <v>#REF!</v>
      </c>
    </row>
    <row r="30" spans="1:20">
      <c r="A30">
        <f t="shared" si="11"/>
        <v>26</v>
      </c>
      <c r="B30" s="2">
        <f t="shared" si="12"/>
        <v>12400</v>
      </c>
      <c r="C30" s="4" t="e">
        <f t="shared" si="16"/>
        <v>#REF!</v>
      </c>
      <c r="D30" s="4" t="e">
        <f t="shared" si="0"/>
        <v>#REF!</v>
      </c>
      <c r="E30" s="4" t="e">
        <f t="shared" si="17"/>
        <v>#REF!</v>
      </c>
      <c r="F30" s="4" t="e">
        <f t="shared" si="1"/>
        <v>#REF!</v>
      </c>
      <c r="G30" s="4" t="e">
        <f t="shared" si="18"/>
        <v>#REF!</v>
      </c>
      <c r="H30" s="4" t="e">
        <f t="shared" si="2"/>
        <v>#REF!</v>
      </c>
      <c r="I30" s="4" t="e">
        <f t="shared" si="19"/>
        <v>#REF!</v>
      </c>
      <c r="J30" s="4" t="e">
        <f t="shared" si="3"/>
        <v>#REF!</v>
      </c>
      <c r="K30" s="15" t="e">
        <f t="shared" si="20"/>
        <v>#REF!</v>
      </c>
      <c r="L30" s="4" t="e">
        <f t="shared" si="5"/>
        <v>#REF!</v>
      </c>
      <c r="M30" s="17" t="e">
        <f t="shared" si="6"/>
        <v>#REF!</v>
      </c>
      <c r="N30" s="17" t="e">
        <f t="shared" si="7"/>
        <v>#REF!</v>
      </c>
      <c r="O30" s="20" t="e">
        <f t="shared" si="13"/>
        <v>#REF!</v>
      </c>
      <c r="P30" s="17" t="e">
        <f t="shared" si="8"/>
        <v>#REF!</v>
      </c>
      <c r="Q30" s="20" t="e">
        <f t="shared" si="14"/>
        <v>#REF!</v>
      </c>
      <c r="R30" s="17" t="e">
        <f t="shared" si="9"/>
        <v>#REF!</v>
      </c>
      <c r="S30" s="15" t="e">
        <f t="shared" si="15"/>
        <v>#REF!</v>
      </c>
      <c r="T30" s="4" t="e">
        <f t="shared" si="10"/>
        <v>#REF!</v>
      </c>
    </row>
    <row r="31" spans="1:20">
      <c r="A31" s="5">
        <f t="shared" si="11"/>
        <v>27</v>
      </c>
      <c r="B31" s="2">
        <f t="shared" si="12"/>
        <v>12800</v>
      </c>
      <c r="C31" s="4" t="e">
        <f t="shared" si="16"/>
        <v>#REF!</v>
      </c>
      <c r="D31" s="4" t="e">
        <f t="shared" si="0"/>
        <v>#REF!</v>
      </c>
      <c r="E31" s="4" t="e">
        <f t="shared" si="17"/>
        <v>#REF!</v>
      </c>
      <c r="F31" s="4" t="e">
        <f t="shared" si="1"/>
        <v>#REF!</v>
      </c>
      <c r="G31" s="4" t="e">
        <f t="shared" si="18"/>
        <v>#REF!</v>
      </c>
      <c r="H31" s="4" t="e">
        <f t="shared" si="2"/>
        <v>#REF!</v>
      </c>
      <c r="I31" s="4" t="e">
        <f t="shared" si="19"/>
        <v>#REF!</v>
      </c>
      <c r="J31" s="15" t="e">
        <f t="shared" si="3"/>
        <v>#REF!</v>
      </c>
      <c r="K31" s="15" t="e">
        <f t="shared" si="20"/>
        <v>#REF!</v>
      </c>
      <c r="L31" s="4" t="e">
        <f t="shared" si="5"/>
        <v>#REF!</v>
      </c>
      <c r="M31" s="17" t="e">
        <f t="shared" si="6"/>
        <v>#REF!</v>
      </c>
      <c r="N31" s="17" t="e">
        <f t="shared" si="7"/>
        <v>#REF!</v>
      </c>
      <c r="O31" s="20" t="e">
        <f t="shared" si="13"/>
        <v>#REF!</v>
      </c>
      <c r="P31" s="17" t="e">
        <f t="shared" si="8"/>
        <v>#REF!</v>
      </c>
      <c r="Q31" s="20" t="e">
        <f t="shared" si="14"/>
        <v>#REF!</v>
      </c>
      <c r="R31" s="17" t="e">
        <f t="shared" si="9"/>
        <v>#REF!</v>
      </c>
      <c r="S31" s="15" t="e">
        <f t="shared" si="15"/>
        <v>#REF!</v>
      </c>
      <c r="T31" s="4" t="e">
        <f t="shared" si="10"/>
        <v>#REF!</v>
      </c>
    </row>
    <row r="32" spans="1:20">
      <c r="B32" s="2" t="s">
        <v>146</v>
      </c>
      <c r="C32" s="20" t="e">
        <f>+C31/B31</f>
        <v>#REF!</v>
      </c>
      <c r="E32" s="20" t="e">
        <f>+E31/D31</f>
        <v>#REF!</v>
      </c>
      <c r="F32" s="21"/>
      <c r="G32" s="20" t="e">
        <f>+G31/F31</f>
        <v>#REF!</v>
      </c>
      <c r="I32" s="20" t="e">
        <f>+I31/H31</f>
        <v>#REF!</v>
      </c>
    </row>
    <row r="33" spans="1:19">
      <c r="B33" s="2">
        <v>400</v>
      </c>
      <c r="C33" s="27"/>
    </row>
    <row r="34" spans="1:19">
      <c r="B34" s="3" t="s">
        <v>106</v>
      </c>
      <c r="C34" s="27"/>
      <c r="D34" s="3" t="s">
        <v>107</v>
      </c>
      <c r="F34" s="3" t="s">
        <v>108</v>
      </c>
      <c r="G34" s="3"/>
      <c r="H34" s="3" t="s">
        <v>109</v>
      </c>
    </row>
    <row r="35" spans="1:19">
      <c r="B35" s="33" t="s">
        <v>110</v>
      </c>
      <c r="C35" s="34" t="s">
        <v>111</v>
      </c>
      <c r="D35" s="33" t="s">
        <v>110</v>
      </c>
      <c r="E35" s="34" t="s">
        <v>111</v>
      </c>
      <c r="F35" s="33" t="s">
        <v>110</v>
      </c>
      <c r="G35" s="34" t="s">
        <v>111</v>
      </c>
      <c r="H35" s="33" t="s">
        <v>110</v>
      </c>
      <c r="I35" s="34" t="s">
        <v>111</v>
      </c>
    </row>
    <row r="36" spans="1:19">
      <c r="B36" s="65" t="e">
        <f>+B40</f>
        <v>#REF!</v>
      </c>
      <c r="C36" s="63" t="e">
        <f t="shared" ref="C36:I36" si="21">+C40</f>
        <v>#REF!</v>
      </c>
      <c r="D36" s="65">
        <f t="shared" si="21"/>
        <v>0</v>
      </c>
      <c r="E36" s="63">
        <f t="shared" si="21"/>
        <v>1.4130000000000001E-6</v>
      </c>
      <c r="F36" s="41" t="e">
        <f t="shared" si="21"/>
        <v>#REF!</v>
      </c>
      <c r="G36" s="41" t="e">
        <f t="shared" si="21"/>
        <v>#REF!</v>
      </c>
      <c r="H36" s="65">
        <f t="shared" si="21"/>
        <v>0</v>
      </c>
      <c r="I36" s="66" t="e">
        <f t="shared" si="21"/>
        <v>#REF!</v>
      </c>
    </row>
    <row r="37" spans="1:19">
      <c r="B37" s="28"/>
      <c r="C37" s="29"/>
      <c r="D37" s="28"/>
      <c r="E37" s="29"/>
      <c r="F37" s="28"/>
      <c r="G37" s="29"/>
      <c r="H37" s="28"/>
      <c r="I37" s="29"/>
    </row>
    <row r="38" spans="1:19">
      <c r="B38" s="28">
        <f>+'Loss Analysis 1995'!B38</f>
        <v>17.273</v>
      </c>
      <c r="C38" s="2">
        <f>+'Loss Analysis 1995'!C38</f>
        <v>3.4176000000000001E-7</v>
      </c>
      <c r="D38" s="53">
        <f>+'Loss Analysis 1995'!D38</f>
        <v>0</v>
      </c>
      <c r="E38" s="64">
        <f>+'Loss Analysis 1995'!E38</f>
        <v>1.0499999999999999E-6</v>
      </c>
      <c r="F38" s="28">
        <f>+'Loss Analysis 1995'!F38</f>
        <v>97.167000000000002</v>
      </c>
      <c r="G38" s="62">
        <f>+'Loss Analysis 1995'!G38</f>
        <v>5.8780000000000001E-7</v>
      </c>
      <c r="H38" s="53">
        <f>+'Loss Analysis 1995'!H38</f>
        <v>0</v>
      </c>
      <c r="I38" s="29">
        <f>+'Loss Analysis 1995'!I38</f>
        <v>4.2553199999999998E-7</v>
      </c>
      <c r="J38" s="2">
        <v>1995</v>
      </c>
    </row>
    <row r="39" spans="1:19">
      <c r="B39" s="38" t="e">
        <f>+#REF!</f>
        <v>#REF!</v>
      </c>
      <c r="C39" s="64" t="e">
        <f>+#REF!</f>
        <v>#REF!</v>
      </c>
      <c r="D39" s="53" t="e">
        <f>+#REF!</f>
        <v>#REF!</v>
      </c>
      <c r="E39" s="64" t="e">
        <f>+#REF!</f>
        <v>#REF!</v>
      </c>
      <c r="F39" s="38" t="e">
        <f>+#REF!</f>
        <v>#REF!</v>
      </c>
      <c r="G39" s="62" t="e">
        <f>+#REF!</f>
        <v>#REF!</v>
      </c>
      <c r="H39" s="53" t="e">
        <f>+#REF!</f>
        <v>#REF!</v>
      </c>
      <c r="I39" s="40" t="e">
        <f>+#REF!</f>
        <v>#REF!</v>
      </c>
      <c r="J39" s="2">
        <v>2001</v>
      </c>
    </row>
    <row r="40" spans="1:19">
      <c r="B40" s="38" t="e">
        <f>+B39</f>
        <v>#REF!</v>
      </c>
      <c r="C40" s="40" t="e">
        <f>+C39</f>
        <v>#REF!</v>
      </c>
      <c r="D40" s="53">
        <v>0</v>
      </c>
      <c r="E40" s="40">
        <v>1.4130000000000001E-6</v>
      </c>
      <c r="F40" s="38" t="e">
        <f>+F39</f>
        <v>#REF!</v>
      </c>
      <c r="G40" s="40" t="e">
        <f>+G39</f>
        <v>#REF!</v>
      </c>
      <c r="H40" s="53">
        <v>0</v>
      </c>
      <c r="I40" s="40" t="e">
        <f>+I39</f>
        <v>#REF!</v>
      </c>
      <c r="J40" s="2" t="s">
        <v>112</v>
      </c>
    </row>
    <row r="41" spans="1:19">
      <c r="B41" s="38"/>
      <c r="C41" s="29"/>
      <c r="D41" s="28"/>
      <c r="E41" s="29"/>
      <c r="F41" s="28"/>
      <c r="G41" s="29"/>
      <c r="H41" s="28"/>
      <c r="I41" s="29"/>
    </row>
    <row r="42" spans="1:19">
      <c r="A42" s="3"/>
      <c r="B42" s="39"/>
      <c r="C42" s="30"/>
      <c r="D42" s="31"/>
      <c r="E42" s="32"/>
      <c r="F42" s="31"/>
      <c r="G42" s="32"/>
      <c r="H42" s="31"/>
      <c r="I42" s="32"/>
      <c r="K42" s="3"/>
      <c r="N42" s="3"/>
      <c r="P42" s="3"/>
      <c r="R42" s="3"/>
      <c r="S42" s="3"/>
    </row>
    <row r="43" spans="1:19">
      <c r="C43" s="4"/>
      <c r="D43" s="4"/>
      <c r="E43" s="4"/>
      <c r="F43" s="4"/>
      <c r="G43" s="4"/>
      <c r="H43" s="4"/>
      <c r="I43" s="4"/>
      <c r="J43" s="4"/>
      <c r="M43" s="4"/>
    </row>
    <row r="44" spans="1:19">
      <c r="A44" s="3"/>
      <c r="B44" s="3"/>
      <c r="C44" s="3"/>
      <c r="K44" s="3"/>
      <c r="N44" s="3"/>
      <c r="P44" s="3"/>
      <c r="R44" s="3"/>
      <c r="S44" s="3"/>
    </row>
    <row r="45" spans="1:19">
      <c r="A45" s="3"/>
      <c r="B45" s="3"/>
      <c r="C45" s="3"/>
      <c r="K45" s="3"/>
      <c r="N45" s="3"/>
      <c r="P45" s="3"/>
      <c r="R45" s="3"/>
      <c r="S45" s="3"/>
    </row>
    <row r="46" spans="1:19">
      <c r="A46" s="3"/>
      <c r="B46" s="3"/>
      <c r="C46" s="3"/>
      <c r="K46" s="3"/>
      <c r="N46" s="3"/>
      <c r="P46" s="3"/>
      <c r="R46" s="3"/>
      <c r="S46" s="3"/>
    </row>
    <row r="47" spans="1:19">
      <c r="A47" s="3"/>
      <c r="B47" s="3"/>
      <c r="C47" s="3"/>
      <c r="K47" s="3"/>
      <c r="N47" s="3"/>
      <c r="P47" s="3"/>
      <c r="R47" s="3"/>
      <c r="S47" s="3"/>
    </row>
    <row r="48" spans="1:19">
      <c r="A48" s="3"/>
      <c r="B48" s="3"/>
      <c r="C48" s="3"/>
      <c r="K48" s="3"/>
      <c r="N48" s="3"/>
      <c r="P48" s="3"/>
      <c r="R48" s="3"/>
      <c r="S48" s="3"/>
    </row>
    <row r="49" spans="1:19">
      <c r="A49" s="3"/>
      <c r="B49" s="3"/>
      <c r="C49" s="3"/>
      <c r="K49" s="3"/>
      <c r="N49" s="3"/>
      <c r="P49" s="3"/>
      <c r="R49" s="3"/>
      <c r="S49" s="3"/>
    </row>
    <row r="50" spans="1:19">
      <c r="A50" s="3"/>
      <c r="B50" s="3"/>
      <c r="C50" s="3"/>
      <c r="K50" s="3"/>
      <c r="N50" s="3"/>
      <c r="P50" s="3"/>
      <c r="R50" s="3"/>
      <c r="S50" s="3"/>
    </row>
    <row r="51" spans="1:19">
      <c r="A51" s="3"/>
      <c r="B51" s="3"/>
      <c r="C51" s="3"/>
      <c r="K51" s="3"/>
      <c r="N51" s="3"/>
      <c r="P51" s="3"/>
      <c r="R51" s="3"/>
      <c r="S51" s="3"/>
    </row>
    <row r="52" spans="1:19">
      <c r="A52" s="3"/>
      <c r="B52" s="3"/>
      <c r="C52" s="3"/>
      <c r="K52" s="3"/>
      <c r="N52" s="3"/>
      <c r="P52" s="3"/>
      <c r="R52" s="3"/>
      <c r="S52" s="3"/>
    </row>
    <row r="53" spans="1:19">
      <c r="A53" s="3"/>
      <c r="B53" s="3"/>
      <c r="C53" s="3"/>
      <c r="K53" s="3"/>
      <c r="N53" s="3"/>
      <c r="P53" s="3"/>
      <c r="R53" s="3"/>
      <c r="S53" s="3"/>
    </row>
  </sheetData>
  <phoneticPr fontId="13" type="noConversion"/>
  <pageMargins left="0.25" right="0.25" top="0.75" bottom="0.5" header="0" footer="0"/>
  <pageSetup paperSize="5" scale="61" orientation="landscape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F0D53CE03AFF4E86949D574ED1540C" ma:contentTypeVersion="15" ma:contentTypeDescription="Create a new document." ma:contentTypeScope="" ma:versionID="c2f67745b528bc0fac7a25e5c707fdd1">
  <xsd:schema xmlns:xsd="http://www.w3.org/2001/XMLSchema" xmlns:xs="http://www.w3.org/2001/XMLSchema" xmlns:p="http://schemas.microsoft.com/office/2006/metadata/properties" xmlns:ns2="3081e31a-0e06-4e7f-a78c-fa928006f79a" xmlns:ns3="d18d6102-c084-46e9-a5e7-049c6854549e" targetNamespace="http://schemas.microsoft.com/office/2006/metadata/properties" ma:root="true" ma:fieldsID="b49559e2fa82de408739d66cf8046cd7" ns2:_="" ns3:_="">
    <xsd:import namespace="3081e31a-0e06-4e7f-a78c-fa928006f79a"/>
    <xsd:import namespace="d18d6102-c084-46e9-a5e7-049c685454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81e31a-0e06-4e7f-a78c-fa928006f7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c3f866c7-bd7e-4d6c-ab32-dc4e9a5015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d6102-c084-46e9-a5e7-049c6854549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22b4675-efe4-4f66-8e8d-920704b4cfc7}" ma:internalName="TaxCatchAll" ma:showField="CatchAllData" ma:web="d18d6102-c084-46e9-a5e7-049c685454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441FC8-FF8C-4150-97BA-85387ECCBD88}"/>
</file>

<file path=customXml/itemProps2.xml><?xml version="1.0" encoding="utf-8"?>
<ds:datastoreItem xmlns:ds="http://schemas.openxmlformats.org/officeDocument/2006/customXml" ds:itemID="{CAC91168-F250-41DF-8352-E60990F23A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HII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i004103</dc:creator>
  <cp:keywords/>
  <dc:description/>
  <cp:lastModifiedBy>Pitcel, Robert B</cp:lastModifiedBy>
  <cp:revision/>
  <dcterms:created xsi:type="dcterms:W3CDTF">2000-09-28T16:11:51Z</dcterms:created>
  <dcterms:modified xsi:type="dcterms:W3CDTF">2024-10-23T18:45:53Z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3ac3a1a-de19-428b-b395-6d250d7743fb_Enabled">
    <vt:lpwstr>true</vt:lpwstr>
  </property>
  <property fmtid="{D5CDD505-2E9C-101B-9397-08002B2CF9AE}" pid="3" name="MSIP_Label_e3ac3a1a-de19-428b-b395-6d250d7743fb_SetDate">
    <vt:lpwstr>2024-10-21T14:47:45Z</vt:lpwstr>
  </property>
  <property fmtid="{D5CDD505-2E9C-101B-9397-08002B2CF9AE}" pid="4" name="MSIP_Label_e3ac3a1a-de19-428b-b395-6d250d7743fb_Method">
    <vt:lpwstr>Standard</vt:lpwstr>
  </property>
  <property fmtid="{D5CDD505-2E9C-101B-9397-08002B2CF9AE}" pid="5" name="MSIP_Label_e3ac3a1a-de19-428b-b395-6d250d7743fb_Name">
    <vt:lpwstr>Internal Use Only</vt:lpwstr>
  </property>
  <property fmtid="{D5CDD505-2E9C-101B-9397-08002B2CF9AE}" pid="6" name="MSIP_Label_e3ac3a1a-de19-428b-b395-6d250d7743fb_SiteId">
    <vt:lpwstr>88cc5fd7-fd78-44b6-ad75-b6915088974f</vt:lpwstr>
  </property>
  <property fmtid="{D5CDD505-2E9C-101B-9397-08002B2CF9AE}" pid="7" name="MSIP_Label_e3ac3a1a-de19-428b-b395-6d250d7743fb_ActionId">
    <vt:lpwstr>b1f9b6fa-41df-4023-b605-a487d5530347</vt:lpwstr>
  </property>
  <property fmtid="{D5CDD505-2E9C-101B-9397-08002B2CF9AE}" pid="8" name="MSIP_Label_e3ac3a1a-de19-428b-b395-6d250d7743fb_ContentBits">
    <vt:lpwstr>0</vt:lpwstr>
  </property>
</Properties>
</file>